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410" windowHeight="7200" tabRatio="833" activeTab="0"/>
  </bookViews>
  <sheets>
    <sheet name="Introduction" sheetId="1" r:id="rId1"/>
    <sheet name="Information" sheetId="2" r:id="rId2"/>
    <sheet name="User guide" sheetId="3" r:id="rId3"/>
    <sheet name="Inputs" sheetId="4" r:id="rId4"/>
    <sheet name="Outputs" sheetId="5" r:id="rId5"/>
    <sheet name="Financial calculation" sheetId="6" r:id="rId6"/>
    <sheet name="Ref 1 Pre-treatment" sheetId="7" r:id="rId7"/>
    <sheet name="Ref 2 Default values" sheetId="8" r:id="rId8"/>
    <sheet name="Default values" sheetId="9" state="hidden" r:id="rId9"/>
    <sheet name="Pre-treatment calculation" sheetId="10" state="hidden" r:id="rId10"/>
    <sheet name="Treatment calculation" sheetId="11" state="hidden" r:id="rId11"/>
    <sheet name="Technical calculation" sheetId="12" state="hidden" r:id="rId12"/>
  </sheets>
  <definedNames>
    <definedName name="_xlfn.IFERROR" hidden="1">#NAME?</definedName>
    <definedName name="Pretreatments">'Inputs'!$Q$8:$Q$12</definedName>
  </definedNames>
  <calcPr fullCalcOnLoad="1"/>
</workbook>
</file>

<file path=xl/comments10.xml><?xml version="1.0" encoding="utf-8"?>
<comments xmlns="http://schemas.openxmlformats.org/spreadsheetml/2006/main">
  <authors>
    <author>Reviewer</author>
  </authors>
  <commentList>
    <comment ref="F113" authorId="0">
      <text>
        <r>
          <rPr>
            <b/>
            <sz val="9"/>
            <rFont val="Tahoma"/>
            <family val="2"/>
          </rPr>
          <t>Reviewer:</t>
        </r>
        <r>
          <rPr>
            <sz val="9"/>
            <rFont val="Tahoma"/>
            <family val="2"/>
          </rPr>
          <t xml:space="preserve">
Formula exludes zero results. 
</t>
        </r>
      </text>
    </comment>
    <comment ref="C95" authorId="0">
      <text>
        <r>
          <rPr>
            <b/>
            <sz val="9"/>
            <rFont val="Tahoma"/>
            <family val="2"/>
          </rPr>
          <t>Reviewer:</t>
        </r>
        <r>
          <rPr>
            <sz val="9"/>
            <rFont val="Tahoma"/>
            <family val="2"/>
          </rPr>
          <t xml:space="preserve">
No of pieces of equipment
</t>
        </r>
      </text>
    </comment>
    <comment ref="F91" authorId="0">
      <text>
        <r>
          <rPr>
            <b/>
            <sz val="9"/>
            <rFont val="Tahoma"/>
            <family val="2"/>
          </rPr>
          <t>Reviewer:</t>
        </r>
        <r>
          <rPr>
            <sz val="9"/>
            <rFont val="Tahoma"/>
            <family val="2"/>
          </rPr>
          <t xml:space="preserve">
Formula exludes zero results. 
</t>
        </r>
      </text>
    </comment>
    <comment ref="C73" authorId="0">
      <text>
        <r>
          <rPr>
            <b/>
            <sz val="9"/>
            <rFont val="Tahoma"/>
            <family val="2"/>
          </rPr>
          <t>Reviewer:</t>
        </r>
        <r>
          <rPr>
            <sz val="9"/>
            <rFont val="Tahoma"/>
            <family val="2"/>
          </rPr>
          <t xml:space="preserve">
No of pieces of equipment
</t>
        </r>
      </text>
    </comment>
    <comment ref="F69" authorId="0">
      <text>
        <r>
          <rPr>
            <b/>
            <sz val="9"/>
            <rFont val="Tahoma"/>
            <family val="2"/>
          </rPr>
          <t>Reviewer:</t>
        </r>
        <r>
          <rPr>
            <sz val="9"/>
            <rFont val="Tahoma"/>
            <family val="2"/>
          </rPr>
          <t xml:space="preserve">
Formula exludes zero results. 
</t>
        </r>
      </text>
    </comment>
    <comment ref="C51" authorId="0">
      <text>
        <r>
          <rPr>
            <b/>
            <sz val="9"/>
            <rFont val="Tahoma"/>
            <family val="2"/>
          </rPr>
          <t>Reviewer:</t>
        </r>
        <r>
          <rPr>
            <sz val="9"/>
            <rFont val="Tahoma"/>
            <family val="2"/>
          </rPr>
          <t xml:space="preserve">
No of pieces of equipment
</t>
        </r>
      </text>
    </comment>
    <comment ref="F47" authorId="0">
      <text>
        <r>
          <rPr>
            <b/>
            <sz val="9"/>
            <rFont val="Tahoma"/>
            <family val="2"/>
          </rPr>
          <t>Reviewer:</t>
        </r>
        <r>
          <rPr>
            <sz val="9"/>
            <rFont val="Tahoma"/>
            <family val="2"/>
          </rPr>
          <t xml:space="preserve">
Formula exludes zero results. 
</t>
        </r>
      </text>
    </comment>
    <comment ref="C29" authorId="0">
      <text>
        <r>
          <rPr>
            <b/>
            <sz val="9"/>
            <rFont val="Tahoma"/>
            <family val="2"/>
          </rPr>
          <t>Reviewer:</t>
        </r>
        <r>
          <rPr>
            <sz val="9"/>
            <rFont val="Tahoma"/>
            <family val="2"/>
          </rPr>
          <t xml:space="preserve">
No of pieces of equipment
</t>
        </r>
      </text>
    </comment>
    <comment ref="F25" authorId="0">
      <text>
        <r>
          <rPr>
            <b/>
            <sz val="9"/>
            <rFont val="Tahoma"/>
            <family val="2"/>
          </rPr>
          <t>Reviewer:</t>
        </r>
        <r>
          <rPr>
            <sz val="9"/>
            <rFont val="Tahoma"/>
            <family val="2"/>
          </rPr>
          <t xml:space="preserve">
Formula exludes zero results. 
</t>
        </r>
      </text>
    </comment>
    <comment ref="C7" authorId="0">
      <text>
        <r>
          <rPr>
            <b/>
            <sz val="9"/>
            <rFont val="Tahoma"/>
            <family val="2"/>
          </rPr>
          <t>Reviewer:</t>
        </r>
        <r>
          <rPr>
            <sz val="9"/>
            <rFont val="Tahoma"/>
            <family val="2"/>
          </rPr>
          <t xml:space="preserve">
No of pieces of equipment
</t>
        </r>
      </text>
    </comment>
    <comment ref="C117" authorId="0">
      <text>
        <r>
          <rPr>
            <b/>
            <sz val="9"/>
            <rFont val="Tahoma"/>
            <family val="2"/>
          </rPr>
          <t>Reviewer:</t>
        </r>
        <r>
          <rPr>
            <sz val="9"/>
            <rFont val="Tahoma"/>
            <family val="2"/>
          </rPr>
          <t xml:space="preserve">
No of pieces of equipment
</t>
        </r>
      </text>
    </comment>
    <comment ref="F135" authorId="0">
      <text>
        <r>
          <rPr>
            <b/>
            <sz val="9"/>
            <rFont val="Tahoma"/>
            <family val="2"/>
          </rPr>
          <t>Reviewer:</t>
        </r>
        <r>
          <rPr>
            <sz val="9"/>
            <rFont val="Tahoma"/>
            <family val="2"/>
          </rPr>
          <t xml:space="preserve">
Formula exludes zero results. 
</t>
        </r>
      </text>
    </comment>
    <comment ref="C139" authorId="0">
      <text>
        <r>
          <rPr>
            <b/>
            <sz val="9"/>
            <rFont val="Tahoma"/>
            <family val="2"/>
          </rPr>
          <t>Reviewer:</t>
        </r>
        <r>
          <rPr>
            <sz val="9"/>
            <rFont val="Tahoma"/>
            <family val="2"/>
          </rPr>
          <t xml:space="preserve">
No of pieces of equipment
</t>
        </r>
      </text>
    </comment>
    <comment ref="F157" authorId="0">
      <text>
        <r>
          <rPr>
            <b/>
            <sz val="9"/>
            <rFont val="Tahoma"/>
            <family val="2"/>
          </rPr>
          <t>Reviewer:</t>
        </r>
        <r>
          <rPr>
            <sz val="9"/>
            <rFont val="Tahoma"/>
            <family val="2"/>
          </rPr>
          <t xml:space="preserve">
Formula exludes zero results. 
</t>
        </r>
      </text>
    </comment>
  </commentList>
</comments>
</file>

<file path=xl/comments11.xml><?xml version="1.0" encoding="utf-8"?>
<comments xmlns="http://schemas.openxmlformats.org/spreadsheetml/2006/main">
  <authors>
    <author>Reviewer</author>
  </authors>
  <commentList>
    <comment ref="C7" authorId="0">
      <text>
        <r>
          <rPr>
            <b/>
            <sz val="9"/>
            <rFont val="Tahoma"/>
            <family val="2"/>
          </rPr>
          <t>Reviewer:</t>
        </r>
        <r>
          <rPr>
            <sz val="9"/>
            <rFont val="Tahoma"/>
            <family val="2"/>
          </rPr>
          <t xml:space="preserve">
No of pieces of equipment
</t>
        </r>
      </text>
    </comment>
    <comment ref="F25" authorId="0">
      <text>
        <r>
          <rPr>
            <b/>
            <sz val="9"/>
            <rFont val="Tahoma"/>
            <family val="2"/>
          </rPr>
          <t>Reviewer:</t>
        </r>
        <r>
          <rPr>
            <sz val="9"/>
            <rFont val="Tahoma"/>
            <family val="2"/>
          </rPr>
          <t xml:space="preserve">
Formula exludes zero results. 
</t>
        </r>
      </text>
    </comment>
    <comment ref="C29" authorId="0">
      <text>
        <r>
          <rPr>
            <b/>
            <sz val="9"/>
            <rFont val="Tahoma"/>
            <family val="2"/>
          </rPr>
          <t>Reviewer:</t>
        </r>
        <r>
          <rPr>
            <sz val="9"/>
            <rFont val="Tahoma"/>
            <family val="2"/>
          </rPr>
          <t xml:space="preserve">
No of pieces of equipment
</t>
        </r>
      </text>
    </comment>
    <comment ref="F47" authorId="0">
      <text>
        <r>
          <rPr>
            <b/>
            <sz val="9"/>
            <rFont val="Tahoma"/>
            <family val="2"/>
          </rPr>
          <t>Reviewer:</t>
        </r>
        <r>
          <rPr>
            <sz val="9"/>
            <rFont val="Tahoma"/>
            <family val="2"/>
          </rPr>
          <t xml:space="preserve">
Formula exludes zero results. 
</t>
        </r>
      </text>
    </comment>
  </commentList>
</comments>
</file>

<file path=xl/comments12.xml><?xml version="1.0" encoding="utf-8"?>
<comments xmlns="http://schemas.openxmlformats.org/spreadsheetml/2006/main">
  <authors>
    <author>A Henderson</author>
  </authors>
  <commentList>
    <comment ref="C12" authorId="0">
      <text>
        <r>
          <rPr>
            <b/>
            <sz val="9"/>
            <rFont val="Tahoma"/>
            <family val="2"/>
          </rPr>
          <t>A Henderson:</t>
        </r>
        <r>
          <rPr>
            <sz val="9"/>
            <rFont val="Tahoma"/>
            <family val="2"/>
          </rPr>
          <t xml:space="preserve">
Water addition at the pre-treatment stage can go to sewer or to collection or atmosphere depending on the type of pre-treatment.</t>
        </r>
      </text>
    </comment>
    <comment ref="F12" authorId="0">
      <text>
        <r>
          <rPr>
            <b/>
            <sz val="9"/>
            <rFont val="Tahoma"/>
            <family val="2"/>
          </rPr>
          <t>A Henderson:</t>
        </r>
        <r>
          <rPr>
            <sz val="9"/>
            <rFont val="Tahoma"/>
            <family val="2"/>
          </rPr>
          <t xml:space="preserve">
Water addition at the pre-treatment stage can go to sewer or to collection depending on the type of pre-treatment.</t>
        </r>
      </text>
    </comment>
  </commentList>
</comments>
</file>

<file path=xl/sharedStrings.xml><?xml version="1.0" encoding="utf-8"?>
<sst xmlns="http://schemas.openxmlformats.org/spreadsheetml/2006/main" count="1072" uniqueCount="373">
  <si>
    <t>A</t>
  </si>
  <si>
    <t>B</t>
  </si>
  <si>
    <t>C</t>
  </si>
  <si>
    <t>D</t>
  </si>
  <si>
    <t>E</t>
  </si>
  <si>
    <t>Please choose</t>
  </si>
  <si>
    <t>A. Vacuum pump plus tank</t>
  </si>
  <si>
    <t>B. Positive pressure pump plus tank</t>
  </si>
  <si>
    <t>C. Combined vacuum pump and dewatering plus bins</t>
  </si>
  <si>
    <t>D. Dewatering plus bins</t>
  </si>
  <si>
    <t>Default</t>
  </si>
  <si>
    <t>Override</t>
  </si>
  <si>
    <t>Column</t>
  </si>
  <si>
    <t>This option utilises a vacuum pump to move source segregated food waste to a central tank which can be accessed by a tanker for off-site treatment. Additional water is not required for the main operation of the technology but is typically used to wash the system through at the end of the day.</t>
  </si>
  <si>
    <t>This option utilises a positive pressure pump to move source segregated food waste and added water to a central tank which can be accessed by a tanker for off-site treatment.</t>
  </si>
  <si>
    <t xml:space="preserve">In this option the food waste is put into bags or bins at source. The food waste is then transported by porters either in these bags or bins to the waste collection point within the hospital. When bags are used they are put into the bins at the collection point.  From there the bins are collected by an RCV or via bin replacement service using a low loader lorry, which takes the source segregated food waste for off-site treatment. </t>
  </si>
  <si>
    <t>Equipment cost (£)</t>
  </si>
  <si>
    <t>% food waste to sewer (% by mass)</t>
  </si>
  <si>
    <t>General adjustable parameters</t>
  </si>
  <si>
    <t>Food waste characteristics</t>
  </si>
  <si>
    <t>Maintenance cost (£/a)</t>
  </si>
  <si>
    <t>Unit cost of water (£/l)</t>
  </si>
  <si>
    <t>Unit cost of electricity (£/kWh)</t>
  </si>
  <si>
    <t>Off-site IVC</t>
  </si>
  <si>
    <t>Off-site AD</t>
  </si>
  <si>
    <t>On-site IVC</t>
  </si>
  <si>
    <t>On-site AD</t>
  </si>
  <si>
    <t>Hospital information</t>
  </si>
  <si>
    <t>On-site equipment cost (£)</t>
  </si>
  <si>
    <t>No of beds</t>
  </si>
  <si>
    <t>Maceration</t>
  </si>
  <si>
    <t>Maceration to sewer</t>
  </si>
  <si>
    <t>Collection  - existing scenario questions</t>
  </si>
  <si>
    <t>Collection - future scenario questions</t>
  </si>
  <si>
    <t>Pre-treatment - future scenario questions</t>
  </si>
  <si>
    <t>Pre-treatment future scenario</t>
  </si>
  <si>
    <t>Pre-treatment</t>
  </si>
  <si>
    <t>Treatment - future scenario</t>
  </si>
  <si>
    <t>Treatment</t>
  </si>
  <si>
    <t>On site IVC</t>
  </si>
  <si>
    <t>On site AD</t>
  </si>
  <si>
    <t>Pre-treatment - exisiting scenario</t>
  </si>
  <si>
    <t>General</t>
  </si>
  <si>
    <t>Sewer</t>
  </si>
  <si>
    <t>MBT</t>
  </si>
  <si>
    <t>Default Message</t>
  </si>
  <si>
    <t>Default value Pre-treatment Column</t>
  </si>
  <si>
    <t>Default value Collection/treatmentColumn</t>
  </si>
  <si>
    <t>Default value pre-treatment column</t>
  </si>
  <si>
    <t>Chooses future pre-treatment from here</t>
  </si>
  <si>
    <t>Chooses future treatment scenario here</t>
  </si>
  <si>
    <t>Chooses existing scenario here</t>
  </si>
  <si>
    <t>Cook from raw ingredients</t>
  </si>
  <si>
    <t>Pre-cooked (Cook chill/cook freeze)</t>
  </si>
  <si>
    <t>Cooking method</t>
  </si>
  <si>
    <t>Chooses cooking method</t>
  </si>
  <si>
    <t>Food waste tonnage</t>
  </si>
  <si>
    <t>kg waste/annum/bed</t>
  </si>
  <si>
    <t>Adjustment factors</t>
  </si>
  <si>
    <t xml:space="preserve">Pre-treatment technology: A </t>
  </si>
  <si>
    <t>Option</t>
  </si>
  <si>
    <t>Throughput rate</t>
  </si>
  <si>
    <t>kg/h</t>
  </si>
  <si>
    <t>Capex</t>
  </si>
  <si>
    <t>£</t>
  </si>
  <si>
    <t>Electrical power</t>
  </si>
  <si>
    <t>kW</t>
  </si>
  <si>
    <t>Water use</t>
  </si>
  <si>
    <t>l/h</t>
  </si>
  <si>
    <t>Installation cost</t>
  </si>
  <si>
    <t>Maintenance cost</t>
  </si>
  <si>
    <t>£/a</t>
  </si>
  <si>
    <t>% (w/w)</t>
  </si>
  <si>
    <t>Pre-treatment technology: B</t>
  </si>
  <si>
    <t>Pre-treatment technology: C</t>
  </si>
  <si>
    <t>Pre-treatment technology: D</t>
  </si>
  <si>
    <t>Pre-treatment technology: E</t>
  </si>
  <si>
    <t>Stored default</t>
  </si>
  <si>
    <t>Calc throughput</t>
  </si>
  <si>
    <t>kg/d</t>
  </si>
  <si>
    <t>no going forward</t>
  </si>
  <si>
    <t>Throughput required</t>
  </si>
  <si>
    <t>kg/day</t>
  </si>
  <si>
    <t>Throughput rate (kg/h)</t>
  </si>
  <si>
    <t>Food waste arising  (tonnes per annum)</t>
  </si>
  <si>
    <t>Processing time (hours/working day)</t>
  </si>
  <si>
    <t>Annual technical calculations</t>
  </si>
  <si>
    <t>Future scenario</t>
  </si>
  <si>
    <t>Existing scenario</t>
  </si>
  <si>
    <t>Electricity use (kWh/annum)</t>
  </si>
  <si>
    <t>Collection</t>
  </si>
  <si>
    <t>Loss of fresh matter through process (%)</t>
  </si>
  <si>
    <t>N/A</t>
  </si>
  <si>
    <t>Mass of product (compost or digestate) produced on site (tonnes/annum)</t>
  </si>
  <si>
    <t>Annual financial calculations</t>
  </si>
  <si>
    <t>Collection costs</t>
  </si>
  <si>
    <t>Pre-treatment costs</t>
  </si>
  <si>
    <t>Treatment costs</t>
  </si>
  <si>
    <t>Income</t>
  </si>
  <si>
    <t>Electricity cost (£/a)</t>
  </si>
  <si>
    <t>Water cost (£/a)</t>
  </si>
  <si>
    <t>Income from product (compost or digestate) produced on site (£/a)</t>
  </si>
  <si>
    <t>Cost of food to sewer (£/a)</t>
  </si>
  <si>
    <t>Misc capex (£)</t>
  </si>
  <si>
    <t>Misc opex (£/a)</t>
  </si>
  <si>
    <t>Future scenario total capex (£)</t>
  </si>
  <si>
    <t>Future scenario total opex (£/a)</t>
  </si>
  <si>
    <t>Future scenario total income (£/a)</t>
  </si>
  <si>
    <t>TOTAL - Future scenario</t>
  </si>
  <si>
    <t>TOTAL - Existing scenario</t>
  </si>
  <si>
    <t>Existing scenario total capex (£)</t>
  </si>
  <si>
    <t>Existing scenario total opex (£/a)</t>
  </si>
  <si>
    <t>Existing scenario total income (£/a)</t>
  </si>
  <si>
    <t>Future scenario - summary of costs and income</t>
  </si>
  <si>
    <t>Existing scenario - summary of costs and income</t>
  </si>
  <si>
    <t>Additional questions for future on-site AD</t>
  </si>
  <si>
    <t>Feed in tariff value (£/kWh electrical)</t>
  </si>
  <si>
    <t>RHI value (£/kWh thermal)</t>
  </si>
  <si>
    <t>Levy exemption certificate value (£/kWh)</t>
  </si>
  <si>
    <t>Future scenario - treatment, On-site AD</t>
  </si>
  <si>
    <t>Other options</t>
  </si>
  <si>
    <t>INFO</t>
  </si>
  <si>
    <t>Available electrical output (kWh/annum)</t>
  </si>
  <si>
    <t>Available thermal output (kWh/annum)</t>
  </si>
  <si>
    <t>Income from feed-in tariff (£/a)</t>
  </si>
  <si>
    <t>Income from electricity sales (£/a)</t>
  </si>
  <si>
    <t>Income from renewable heat incentive (£/a)</t>
  </si>
  <si>
    <t>Income from levy exemption certificates (£/a)</t>
  </si>
  <si>
    <t>Water use (litres/annum)</t>
  </si>
  <si>
    <t>On site AD biogas calculations</t>
  </si>
  <si>
    <t>Mass of material to sewer (tonnes/annum)</t>
  </si>
  <si>
    <t>Mass of material for collection/treatment (tonnes/annum)</t>
  </si>
  <si>
    <t>Mass of material for collection (tonnes/annum)</t>
  </si>
  <si>
    <t>Added water destination</t>
  </si>
  <si>
    <t xml:space="preserve">This option utilises a vacuum pump to move food waste and added water to a central dewatering plant. The dewatering plant outputs liquids to sewer and solids to bins. The bins can be left for collection by an RCV which takes the solid fraction of the source segregated waste for off-site treatment. The model assumes all additional water added in with the waste goes to sewer alongside a proportion of the food waste. </t>
  </si>
  <si>
    <t xml:space="preserve">In this option the food waste and added water are fed to a grinder and dewatering plant. The dewatering plant outputs liquids to sewer and solids to bins. The bins can be left for collection by an RCV which takes the solid fraction of the source segregated waste for off-site treatment. The model assumes all additional water added in with the waste goes to sewer alongside a proportion of the food waste. </t>
  </si>
  <si>
    <t>Default values</t>
  </si>
  <si>
    <t>Percentage discount rate for finance (%)</t>
  </si>
  <si>
    <t>Outputs</t>
  </si>
  <si>
    <t>User Guide</t>
  </si>
  <si>
    <t>Inputs</t>
  </si>
  <si>
    <t>Types of cells</t>
  </si>
  <si>
    <t>Introduction</t>
  </si>
  <si>
    <t>Scenarios</t>
  </si>
  <si>
    <t>Override cell</t>
  </si>
  <si>
    <t>Calculated cell</t>
  </si>
  <si>
    <t>Users can click on the grey info boxes to get help with any line on the input and output screens:</t>
  </si>
  <si>
    <t>Calculator sheets</t>
  </si>
  <si>
    <t>Questions on the Inputs sheet regarding future and existing scenarios can be separated by their colour:</t>
  </si>
  <si>
    <t>Headline results from the modelling exercise can be viewed on the Outputs sheet. Calculations are made in parallel for the future and existing scenarios. For a detailed breakdown of costs for each scenario, users should consult the "Financial calculation" sheet. Until all of the choices have been made on the input screen then the calculations may display "ERROR" or "VALUE".</t>
  </si>
  <si>
    <t>Reverse logistics</t>
  </si>
  <si>
    <t>Limitations of the calculator</t>
  </si>
  <si>
    <t>Pre-treatment:</t>
  </si>
  <si>
    <t>Treatment:</t>
  </si>
  <si>
    <t>Capex (£):</t>
  </si>
  <si>
    <t>Opex (£/a):</t>
  </si>
  <si>
    <t>Income (£/a):</t>
  </si>
  <si>
    <t>Existing scenario:</t>
  </si>
  <si>
    <t>Food waste disposed of in general waste</t>
  </si>
  <si>
    <t>Pre-treatment - existing scenario questions</t>
  </si>
  <si>
    <t>% food to sewer</t>
  </si>
  <si>
    <t xml:space="preserve">Resource Efficient Scotland - Hospital food waste disposal calculator </t>
  </si>
  <si>
    <t>For graphs:</t>
  </si>
  <si>
    <t>No. of working days for hospital (working days/annum)</t>
  </si>
  <si>
    <t>Hourly cost of labour - professional support (£/h)</t>
  </si>
  <si>
    <t>General inputs - compulsory</t>
  </si>
  <si>
    <t>Future scenario inputs - compulsory</t>
  </si>
  <si>
    <t>Existing scenario inputs - optional</t>
  </si>
  <si>
    <t xml:space="preserve">The output sheet provides a summary of the future and existing costs hospitals incur. For a more detailed breakdown of costs, please refer to the "Financial calculation" sheet.  </t>
  </si>
  <si>
    <t xml:space="preserve">This financial calculation sheet provides an annual breakdown of all costs to hospitals in the existing and future scenarios selected. </t>
  </si>
  <si>
    <t xml:space="preserve">General inputs are displayed at the beginning of the inputs sheet and are compulsory. Inputs relating to the future scenario are shown below this and are also compulsory. Inputs relating to the existing scenario are optional, hence the future scenario calculations will not be affected by the input to the existing scenario. </t>
  </si>
  <si>
    <t>Labour requirement - ongoing prof. support (man hours/ working day)</t>
  </si>
  <si>
    <t>Labour requirement - ongoing professional support (man hours/annum)</t>
  </si>
  <si>
    <t>Labour cost - ongoing professional support (£/a)</t>
  </si>
  <si>
    <t>Labour cost - set up professional support (£)</t>
  </si>
  <si>
    <t>Labour requirement - set up professional support (man hrs in year 1)</t>
  </si>
  <si>
    <t>Management and support - future scenario questions</t>
  </si>
  <si>
    <t>Management and support - future scenario</t>
  </si>
  <si>
    <t>-</t>
  </si>
  <si>
    <t>Management and support</t>
  </si>
  <si>
    <t>Management and support costs</t>
  </si>
  <si>
    <t>Management and support  - existing scenario questions</t>
  </si>
  <si>
    <t>Pre-treatment technology: A</t>
  </si>
  <si>
    <t>Multiplier</t>
  </si>
  <si>
    <t>Option 1</t>
  </si>
  <si>
    <t>Option 2</t>
  </si>
  <si>
    <t>Option 3</t>
  </si>
  <si>
    <t>Option 4</t>
  </si>
  <si>
    <t>Option 5</t>
  </si>
  <si>
    <t>Throughput (kg/day)</t>
  </si>
  <si>
    <t>Choose multiplier</t>
  </si>
  <si>
    <t>Multiplied options - Pre-treatment technology: A</t>
  </si>
  <si>
    <t>Multiplied option</t>
  </si>
  <si>
    <t>Included multiplier</t>
  </si>
  <si>
    <t>Throughput per unit</t>
  </si>
  <si>
    <t>Throughout rate overall</t>
  </si>
  <si>
    <t>Associated option</t>
  </si>
  <si>
    <t>Minimum capex:</t>
  </si>
  <si>
    <t>Choose option:</t>
  </si>
  <si>
    <t>Pre-treatment: A</t>
  </si>
  <si>
    <t>Equipment cost (£/unit)</t>
  </si>
  <si>
    <t>Equipment installation costs (£/unit)</t>
  </si>
  <si>
    <t>Maintenance cost (£/unit/a)</t>
  </si>
  <si>
    <t>Electrical power (kW/unit)</t>
  </si>
  <si>
    <t>Water use (l/unit/h)</t>
  </si>
  <si>
    <t>Number of units</t>
  </si>
  <si>
    <t>Multiplied options - Pre-treatment technology: B</t>
  </si>
  <si>
    <t>Multiplied options - Pre-treatment technology: C</t>
  </si>
  <si>
    <t xml:space="preserve">Chooses appropriate sizes associated with each multiplier then smallest capex within this. </t>
  </si>
  <si>
    <t>Multiplied options - Pre-treatment technology: D</t>
  </si>
  <si>
    <t>Pre-treatment: D</t>
  </si>
  <si>
    <t>Pre-treatment: C</t>
  </si>
  <si>
    <t>Pre-treatment: B</t>
  </si>
  <si>
    <t>Multiplied options - Pre-treatment technology: E</t>
  </si>
  <si>
    <t>Pre-treatment: E</t>
  </si>
  <si>
    <t>Equipment installation cost (£)</t>
  </si>
  <si>
    <t>Processing time (hours running/unit/working day)</t>
  </si>
  <si>
    <t>From</t>
  </si>
  <si>
    <t>Labour requirement - ongoing prof. support (man hours/annum)</t>
  </si>
  <si>
    <t>Bin/tank size (litres)</t>
  </si>
  <si>
    <r>
      <t>Bulk density of waste for collection (kg/m</t>
    </r>
    <r>
      <rPr>
        <vertAlign val="superscript"/>
        <sz val="11"/>
        <color indexed="8"/>
        <rFont val="Calibri"/>
        <family val="2"/>
      </rPr>
      <t>3</t>
    </r>
    <r>
      <rPr>
        <sz val="11"/>
        <color theme="1"/>
        <rFont val="Calibri"/>
        <family val="2"/>
      </rPr>
      <t>)</t>
    </r>
  </si>
  <si>
    <t>Number of collections required (bin lifts or tank empties/annum)</t>
  </si>
  <si>
    <t>Useful electrical output (kWh/annum)</t>
  </si>
  <si>
    <t>Useful heat output (kWh/annum)</t>
  </si>
  <si>
    <t>Hourly cost of labour - catering management (£/h)</t>
  </si>
  <si>
    <t>Hourly cost of labour - estate management (£/h)</t>
  </si>
  <si>
    <t>Number of catering operatives to operate pre-treatment unit(s)</t>
  </si>
  <si>
    <t>Labour requirement - estates operative (man hours/ working day)</t>
  </si>
  <si>
    <t>Labour requirement - estates management (man hours/ working day)</t>
  </si>
  <si>
    <t>Electricity export value (£/kWh)</t>
  </si>
  <si>
    <t>Labour requirement - catering management (man hours/working day)</t>
  </si>
  <si>
    <t>Labour requirement - estates operative (man hours/annum)</t>
  </si>
  <si>
    <t>Labour requirement - estates management (man hours/annum)</t>
  </si>
  <si>
    <t>Labour requirement - catering operative (man hours/annum)</t>
  </si>
  <si>
    <t>Labour requirement - catering management (man hours/annum)</t>
  </si>
  <si>
    <t>Hourly cost of labour - estates onsite AD/IVC operative (£/h)</t>
  </si>
  <si>
    <t>Hourly cost of labour - catering/portering operative (£/h)</t>
  </si>
  <si>
    <t>Labour requirement - ongoing prof. support (man hours/ each subsequent yr)</t>
  </si>
  <si>
    <t>Labour requirement - set up professional support (man hours in year 1)</t>
  </si>
  <si>
    <t>Collection and disposal cost (£/bin lift or £/tank empty)</t>
  </si>
  <si>
    <t>Collection and disposal cost (£/t)</t>
  </si>
  <si>
    <t>Collection and treatment costs</t>
  </si>
  <si>
    <t>Collection /disposal cost (£/a)</t>
  </si>
  <si>
    <t>Labour requirement - portering operative (man hours/working day)</t>
  </si>
  <si>
    <t>Number of catering operatives to operate pre-treatment</t>
  </si>
  <si>
    <t>Labour requirement - portering operative (man hours/annum)</t>
  </si>
  <si>
    <t>Labour cost - catering operative (£/a)</t>
  </si>
  <si>
    <t>Labour cost - portering operative (£/a)</t>
  </si>
  <si>
    <t>Labour cost - catering management (£/a)</t>
  </si>
  <si>
    <t>Labour cost  - catering operative (£/a)</t>
  </si>
  <si>
    <t>Labour cost - estates operative (£/a)</t>
  </si>
  <si>
    <t>Labour cost - estates management (£/a)</t>
  </si>
  <si>
    <t>Collection/disposal cost (£/a)</t>
  </si>
  <si>
    <t xml:space="preserve">Below is a description of the food waste pre-treatment options in this calculator. Pre treatment is any system that is used between the waste being taken to a central point and either collection or on site treatment. </t>
  </si>
  <si>
    <t>Labour requirement - catering  operative (man hours/annum)</t>
  </si>
  <si>
    <t>Maintenance cost (£/a/unit)</t>
  </si>
  <si>
    <t>Water use (l/h/unit)</t>
  </si>
  <si>
    <t>To pre-treatment calculation</t>
  </si>
  <si>
    <t>Pre-treatment technology calculation</t>
  </si>
  <si>
    <t>Treatment technology: IVC</t>
  </si>
  <si>
    <t>t/a</t>
  </si>
  <si>
    <t>Consumables</t>
  </si>
  <si>
    <t>l/t</t>
  </si>
  <si>
    <t>Treatment technology: Micro AD</t>
  </si>
  <si>
    <t>To treatment calculation</t>
  </si>
  <si>
    <t>pre-treament calculation</t>
  </si>
  <si>
    <t>treatment calculation</t>
  </si>
  <si>
    <t>Treatment technology calculation</t>
  </si>
  <si>
    <t>Treatment technology: On-site IVC</t>
  </si>
  <si>
    <t>Multiplied options - Treatment technology: On-site IVC</t>
  </si>
  <si>
    <t>IVC</t>
  </si>
  <si>
    <t>Treatment: On-site IVC</t>
  </si>
  <si>
    <t>Treatment technology: On-site AD</t>
  </si>
  <si>
    <t>AD</t>
  </si>
  <si>
    <t>Multiplied options - Treatment technology: On-site AD</t>
  </si>
  <si>
    <t>Treatment: On-site AD</t>
  </si>
  <si>
    <t>Consumables cost</t>
  </si>
  <si>
    <t>Number of on-site units</t>
  </si>
  <si>
    <t>On-site equipment cost (£/unit)</t>
  </si>
  <si>
    <t>On-site equipment installation cost (£/unit)</t>
  </si>
  <si>
    <t>On-site maintenance (£/unit/a)</t>
  </si>
  <si>
    <t>On-site consumables (£/unit/a)</t>
  </si>
  <si>
    <t>On-site electricity use (kW/unit)</t>
  </si>
  <si>
    <t>On-site water use (l/unit/t)</t>
  </si>
  <si>
    <t>On-site installation cost (£)</t>
  </si>
  <si>
    <t>On-site maintenance cost (£/a)</t>
  </si>
  <si>
    <t>On-site consumables cost (£/a)</t>
  </si>
  <si>
    <t>Bin/tank emptied at X % of full</t>
  </si>
  <si>
    <t xml:space="preserve">For on-site AD systems which can be used to produce renewable electricity and heat, the default values for these parameters are zero. This is because the performance of systems is very specific to the technology used, and also the quality of the input material. If users wish to include income from an on-site AD system they should consult with propective technology providers to override the parameters for electricity and heat production. </t>
  </si>
  <si>
    <t>Comparing options</t>
  </si>
  <si>
    <t>Acknowledgements</t>
  </si>
  <si>
    <t>Reference 1: Pre-treatment</t>
  </si>
  <si>
    <t xml:space="preserve"> </t>
  </si>
  <si>
    <t>When users wish to compare different future scenarios which may be of interest, then the following method is recommended to keep track of the outputs. Enter the data for the first future scenario and also the existing scenario if required. Make a note of the outputs and save the whole calculator with a new file name. Now, ensuring that all of the override boxes are blank, enter the data for a different future scenario. Make a note of the outputs and save the whole calculator using another unique name.</t>
  </si>
  <si>
    <t xml:space="preserve">The future scenario aspect of the Hospital food waste disposal calculator is limited to the technologies which are permitted under the Waste (Scotland) Regulations 2012 for the majority of hospitals. The limited choice of existing scenarios (maceration to sewer and disposal with general waste) reflects the majority of Scottish hospitals which will not comply with the new regulations, although it is acknowledged that this list is not exhaustive. </t>
  </si>
  <si>
    <t xml:space="preserve">Costs which have not been explicitly included in the calculator include: training to run any new system including on-site anaerobic digestion (AD) and in vessel composting (IVC) and the labour requirement for hawling finished compost and digestate products around a site before they are used or sent to market. The labour requirement for moving waste between wards and kitchens is not included because this cost will either be incurred anyway or is essentially free of additional charge as it will be moved through "internal reverse logistics" whereby a trolley would be moved in that route anyway and so no additional time will be required to move the food waste. </t>
  </si>
  <si>
    <t>Income/expenditure from sale of compost/digestate (£/t)</t>
  </si>
  <si>
    <t>Hospital name</t>
  </si>
  <si>
    <t>Disclaimer</t>
  </si>
  <si>
    <t>www.resourceefficientscotland.com</t>
  </si>
  <si>
    <t>www.o-r-a.co.uk</t>
  </si>
  <si>
    <t>Information</t>
  </si>
  <si>
    <t>This user guide describes how to quickly get started using the calculator. For supporting information see the "Information" tab.</t>
  </si>
  <si>
    <t xml:space="preserve">The next section of questions relate to the future scenario the hospital wishes to consider. These are again, complusory, although default values will be used where no response is provided. Pay special attention to the multiple choice questions: "Which future scenario pre-treatment to model" and "Which future scenario treatment to model". These must be answered using drop down lists.  </t>
  </si>
  <si>
    <t>On-site treatment - future scenario questions</t>
  </si>
  <si>
    <t xml:space="preserve">The final part of the Inputs tab concerns the existing scenario. This is coloured in beige and is optional. It should be included when you wish to calculate the hospital's current cost of food waste disposal. This will allow you to compare existing and current costs. </t>
  </si>
  <si>
    <t xml:space="preserve">In this example many of the default values are not shown because the first multiple choice question has not been answered (Which existing scenario to compare against). If you do not wish to calculate the existing hospital costs then please leave the blue boxes blank and retain "Please choose" as the answer to the first multiple choice question. </t>
  </si>
  <si>
    <t>Existing scenario total cost over 10 years (£)</t>
  </si>
  <si>
    <t>Future scenario total cost of 10 years (£)</t>
  </si>
  <si>
    <t>Total cost over 10 years (£):</t>
  </si>
  <si>
    <t xml:space="preserve">To obtain the outputs from the exercise please click on the "Outputs" tab. Details of the selected scenarios are shown followed by the measures for the cost of the option (capex, opex, income, total cost over 10 years). </t>
  </si>
  <si>
    <t xml:space="preserve">To enter information into the calculator, click on the "Inputs" tab. The calculator asks a number of questions which can be answered in the blue boxes. The first section describes general inputs that are compulsory and affect all of the outputs. </t>
  </si>
  <si>
    <t xml:space="preserve">When you have run a scenario, you can save the whole file, using an appropriate name, and then click on the button "Clear data" at the top of the input sheet. This will reset the calculator ready for another scenario to be run. </t>
  </si>
  <si>
    <r>
      <t xml:space="preserve">Which future scenario pre-treatment to model </t>
    </r>
    <r>
      <rPr>
        <b/>
        <i/>
        <sz val="8"/>
        <color indexed="8"/>
        <rFont val="Calibri"/>
        <family val="2"/>
      </rPr>
      <t>(multiple choice)</t>
    </r>
  </si>
  <si>
    <r>
      <t>Cooking method</t>
    </r>
    <r>
      <rPr>
        <i/>
        <sz val="8"/>
        <color indexed="8"/>
        <rFont val="Calibri"/>
        <family val="2"/>
      </rPr>
      <t xml:space="preserve"> (multiple choice)</t>
    </r>
  </si>
  <si>
    <t>In this example the user has named the hospital "Edinburgh House", with 500 beds and from the multiple choice box has selected the cooking method. The next questions contain default values which can be overidden where you have information the populate the blue boxes. In this example the user has chosen only to override the amount of food waste generated (to 100 tonnes per annum) and the cost of electrcity (increased to 0.1 £/kWh). The other default values will be carried forward and used in the calculations. Help regarding the questions can be obtained by clicking on the grey "Info" boxes on the "Inputs" tab.</t>
  </si>
  <si>
    <t>Number of units (write "1" for general waste option)</t>
  </si>
  <si>
    <t xml:space="preserve">During the calculation of total cost over 10 years, the calculator does not inflate the opex each year.  </t>
  </si>
  <si>
    <t>The cost of sewerage is set to zero as default. This is not because the expected cost is zero but because in many circumstances there will be no real change to the sewerage bill when implementing a new scenario and hence in these circumstances it does not need to be included in the financial analysis. The cost of sewerage can be overidden by the user if a real change in the sewerage bill will occur when a new system is put in place. However, for hospitals which are operating under Trade Effluent Consents issued by Scottish Water, any changes would need to be agreed with Scottish Water and the resultant changes to the cost would be highly site specific and variable. The cost for Trade Efflucent producers is based on the Mogden formulae. Resource Efficient Scotland have a tool to help understand the Mogden formulae (http://www.zerowastescotland.org.uk/content/water-efficiency-and-effluent-minimisation)</t>
  </si>
  <si>
    <t>Note: the sections "On-site treatment - future scenario questions" and "Additional questions for future on-site AD" (see above) should only be answered when the default values do not display "N/A".</t>
  </si>
  <si>
    <t>SOURCE</t>
  </si>
  <si>
    <t>Adjustment factor for "Pre-cooked (Cook chill/cook freeze)"</t>
  </si>
  <si>
    <t>Adjustment factor for "cook from raw ingredients"</t>
  </si>
  <si>
    <t>F</t>
  </si>
  <si>
    <t>Pre-treatment technology type</t>
  </si>
  <si>
    <r>
      <t xml:space="preserve">If any changes are made to the default values stored on this page, ensure the "Ref 2 Default values" tab is updated as it runs on text and does not automatically account for </t>
    </r>
    <r>
      <rPr>
        <i/>
        <sz val="11"/>
        <color indexed="10"/>
        <rFont val="Calibri"/>
        <family val="2"/>
      </rPr>
      <t xml:space="preserve">all </t>
    </r>
    <r>
      <rPr>
        <sz val="11"/>
        <color indexed="10"/>
        <rFont val="Calibri"/>
        <family val="2"/>
      </rPr>
      <t xml:space="preserve">changes. </t>
    </r>
  </si>
  <si>
    <t>G</t>
  </si>
  <si>
    <t>Pre-treatment technology: F</t>
  </si>
  <si>
    <t>Pre-treatment technology: G</t>
  </si>
  <si>
    <t>G. No pre-treatment plus bins</t>
  </si>
  <si>
    <t>E. Drying plus bins</t>
  </si>
  <si>
    <t>F. Thermal aerobic pre-treatment plus bins</t>
  </si>
  <si>
    <t>Multiplied options - Pre-treatment technology: F</t>
  </si>
  <si>
    <t>Multiplied options - Pre-treatment technology: G</t>
  </si>
  <si>
    <t>Pre-treatment: G</t>
  </si>
  <si>
    <t>Pre-treatment: F</t>
  </si>
  <si>
    <t xml:space="preserve">The Hospital food waste disposal calculator has been developed by the Organic Resource Agency Ltd on behalf of Resource Efficient Scotland. It it designed to be used to compare options by estimating costs for hospitals in Scotland who need to change the way in which their food waste is managed to comply with the Waste (Scotland) Regulations 2012. </t>
  </si>
  <si>
    <t>Throughput</t>
  </si>
  <si>
    <t>% food waste to sewer or atmosphere (% by mass)</t>
  </si>
  <si>
    <t>% food to atmosphere</t>
  </si>
  <si>
    <t>Mass of material to atmosphere (tonnes/annum)</t>
  </si>
  <si>
    <t xml:space="preserve">Data for populating the default values has been kindly provided by a number of Scottish hospitals and health boards, and also the following technology providers: Closed Loop Organics, European Vacuum Drainage Systems UK Ltd (EVDS), Hobart, Imperial Machine Company (IMC), Methanogen, Meiko UK Ltd, Rendisk, Revendit, SEaB Energy Ltd and Tidy Planet Ltd.  </t>
  </si>
  <si>
    <t>Operating time (man hours/unit/working day)</t>
  </si>
  <si>
    <t>F. Thermal aerobic pretreatment plus bins</t>
  </si>
  <si>
    <t xml:space="preserve">In this option the food waste is fed to the pre-treatment plant. At this stage biological additives may be added.  The pre-treatment plant outputs water to atmosphere and solids to bins. The bins can be left for collection by an RCV which takes the solid fraction of the source segregated waste for off-site treatment. </t>
  </si>
  <si>
    <r>
      <t>Unit cost of sewerage (£/m</t>
    </r>
    <r>
      <rPr>
        <vertAlign val="superscript"/>
        <sz val="11"/>
        <color indexed="8"/>
        <rFont val="Calibri"/>
        <family val="2"/>
      </rPr>
      <t>3</t>
    </r>
    <r>
      <rPr>
        <sz val="11"/>
        <color theme="1"/>
        <rFont val="Calibri"/>
        <family val="2"/>
      </rPr>
      <t>)</t>
    </r>
  </si>
  <si>
    <t xml:space="preserve">In this option the food waste is fed directly to the drying plant. The drying plant evaporates water which is then recondensed and put to sewer. The remaining solids are output to bins. The bins can be left for collection by an RCV which takes the solid fraction of the source segregated waste for off-site treatment. </t>
  </si>
  <si>
    <t xml:space="preserve">The hospital food waste disposal calculator is split into a number of sheets or "tabs". When using the model, normally it should only be necessary to view the "Inputs" and "Outputs" tabs, although there are also two reference tabs to help to make choices. </t>
  </si>
  <si>
    <t xml:space="preserve">There are two scenarios which are modelled by the calculator at any one time. These are termed the "future scenario" and the "existing scenario". The future scenario is a model of the system which may be considered to comply with the Waste (Scotland) Regulations 2012. The existing scenario is a model of the system which is currently used to dispose of food waste. </t>
  </si>
  <si>
    <t>On the default values reference tab, users can click on the grey boxes to see the source of values:</t>
  </si>
  <si>
    <t xml:space="preserve">For more detailed information about using the calculator including reverse logistics, please see the "Information" tab. </t>
  </si>
  <si>
    <t>Cost of sewerage</t>
  </si>
  <si>
    <t>Throughput rate (kg/h - or kg/day from type E and type F technology)</t>
  </si>
  <si>
    <t>theoretically no upper limit</t>
  </si>
  <si>
    <t>Treatment technology type</t>
  </si>
  <si>
    <t>Not included</t>
  </si>
  <si>
    <t>Off-site IVC/AD</t>
  </si>
  <si>
    <t>On-site IVC/AD</t>
  </si>
  <si>
    <t>Misc. operational expenditure - existing scenario (£/a)</t>
  </si>
  <si>
    <t>Misc. capital expenditure - existing scenario (£)</t>
  </si>
  <si>
    <r>
      <t xml:space="preserve">Which existing scenario to compare against </t>
    </r>
    <r>
      <rPr>
        <b/>
        <i/>
        <sz val="8"/>
        <color indexed="8"/>
        <rFont val="Calibri"/>
        <family val="2"/>
      </rPr>
      <t>(multiple choice)</t>
    </r>
  </si>
  <si>
    <t>Misc. operational expenditure - future scenario (£/a)</t>
  </si>
  <si>
    <t>Misc. capital expenditure - future scenario (£)</t>
  </si>
  <si>
    <r>
      <t xml:space="preserve">Which future scenario treatment to model </t>
    </r>
    <r>
      <rPr>
        <b/>
        <i/>
        <sz val="8"/>
        <color indexed="8"/>
        <rFont val="Calibri"/>
        <family val="2"/>
      </rPr>
      <t>(multiple choice)</t>
    </r>
  </si>
  <si>
    <t>27th November 2013</t>
  </si>
  <si>
    <t xml:space="preserve">This hospital food waste disposal calculator is designed to help hospitals and health boards to estimate the cost of implementing new methods of food waste disposal. The results from the calculator are dependent on the accuracy of the inputs provided by the user and generic data where no user defined figure is provided. As such it should only be used as a guide as part of the decision making process and not to calculate the actual expenditure required to implement a method of food waste disposal. An appropriate tendering process should always be used to determine costs. The default values provided in the calculator are indicative and users should be aware they are likely to change in time and with local circumstances.  Users of the calculator should only alter blue cells and should not interfere with any other cells. Neither Resource Efficient Scotland nor the Organic Resource Agency accept liability for consequences arising as a result of using this calculator. </t>
  </si>
  <si>
    <t xml:space="preserve">The headline results are for capex, opex, income and total cost over 10 years. The latter has been chosen as a method of taking account of the combined capex, opex and income of the future scenario. </t>
  </si>
  <si>
    <t xml:space="preserve">The calculator can be used to model the effect on finances of applying reverse logistics, whereby existing transport methods for food are utilised on the return jouney by food waste. One such method of using reverse logistics which might be considered by hospitals is processing food waste at the same central production unit (CPU) that produces meals for a number of hospitals. In this scenario the transport involved in bringing food waste back to the CPU is considered to have no net cost, as the vehicles return anyway. This can be modelled in the calculator by filling out the hospital information section of the inputs sheet, based on the total number of beds and cooking method of the hospitals that receive food and produce food waste. "Please choose" can be selected where none of the options match all of the hospitals. Particular attention should be paid to the labour requirements which may be increased under a reverse logistics scenario, and users should also remember that additional operating costs can be included under "Miscellaneous opex". </t>
  </si>
  <si>
    <t xml:space="preserve">In a method of working similar to reverse logistics for the collection of waste, hospitals may wish to consider using a dedicated vehicle for a collection round which can be used to bring waste to a central logication. In this instance, the capex and opex (including labour) for the operation should be included in the miscellaneous sections. </t>
  </si>
  <si>
    <t xml:space="preserve">By comparing the outputs from the future and existing scenarios you can estimate the effect of a choice on the hospital's finances. </t>
  </si>
  <si>
    <r>
      <t>Questions are asked of the user for both future and existing scenarios. Some of these are multiple choice but others require numerical answers. The calculator contains default values for these numerical answers which are displayed on the input sheet. These default values are stored in green cells on the default values sheet and should not be altered by the user. To override any default value, users should fill in the appropriate override cell marked in blue on the input sheet. Although this is optional, users are encouraged to seek information to populate them where hospital specific information is available as this will increase the accuracy of results. It should be borne in mind that it is normal to find that the real data is different to the default values provided. If users are sure that their bespoke data is of good quality then it should be included in the override box even if it is quite different from the default value. Resource Efficient Scotland have a separate tool (</t>
    </r>
    <r>
      <rPr>
        <i/>
        <sz val="11"/>
        <color indexed="8"/>
        <rFont val="Calibri"/>
        <family val="2"/>
      </rPr>
      <t>Food Waste Methodology and Data Capture Sheet</t>
    </r>
    <r>
      <rPr>
        <sz val="11"/>
        <color theme="1"/>
        <rFont val="Calibri"/>
        <family val="2"/>
      </rPr>
      <t xml:space="preserve">) which can be used by organisations to organise and help capture high quality food waste audit results. This can help to override the default value for food waste arising (tonnes per annum).  Users should take care to ensure that all override cells are cleared before starting to model another situation. Where default values are marked as "N/A" then this line is not applicable to one of the choices made earlier. In this situation, the affected lines on the input sheet should not be filled in by the user. Cells marked in pink indicate calculation cells and should not be altered by users. </t>
    </r>
  </si>
  <si>
    <t>(Final)</t>
  </si>
  <si>
    <t>v1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</si>
</sst>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72">
    <font>
      <sz val="11"/>
      <color theme="1"/>
      <name val="Calibri"/>
      <family val="2"/>
    </font>
    <font>
      <sz val="11"/>
      <color indexed="8"/>
      <name val="Calibri"/>
      <family val="2"/>
    </font>
    <font>
      <i/>
      <sz val="11"/>
      <color indexed="8"/>
      <name val="Calibri"/>
      <family val="2"/>
    </font>
    <font>
      <sz val="9"/>
      <name val="Tahoma"/>
      <family val="2"/>
    </font>
    <font>
      <b/>
      <sz val="9"/>
      <name val="Tahoma"/>
      <family val="2"/>
    </font>
    <font>
      <vertAlign val="superscript"/>
      <sz val="11"/>
      <color indexed="8"/>
      <name val="Calibri"/>
      <family val="2"/>
    </font>
    <font>
      <sz val="11"/>
      <color indexed="10"/>
      <name val="Calibri"/>
      <family val="2"/>
    </font>
    <font>
      <b/>
      <i/>
      <sz val="8"/>
      <color indexed="8"/>
      <name val="Calibri"/>
      <family val="2"/>
    </font>
    <font>
      <i/>
      <sz val="8"/>
      <color indexed="8"/>
      <name val="Calibri"/>
      <family val="2"/>
    </font>
    <font>
      <i/>
      <sz val="11"/>
      <color indexed="10"/>
      <name val="Calibri"/>
      <family val="2"/>
    </font>
    <font>
      <b/>
      <sz val="11"/>
      <color indexed="8"/>
      <name val="Calibri"/>
      <family val="2"/>
    </font>
    <font>
      <sz val="11"/>
      <color indexed="22"/>
      <name val="Calibri"/>
      <family val="2"/>
    </font>
    <font>
      <sz val="11"/>
      <color indexed="23"/>
      <name val="Calibri"/>
      <family val="2"/>
    </font>
    <font>
      <sz val="20"/>
      <color indexed="8"/>
      <name val="Calibri"/>
      <family val="2"/>
    </font>
    <font>
      <i/>
      <sz val="12"/>
      <color indexed="8"/>
      <name val="Calibri"/>
      <family val="2"/>
    </font>
    <font>
      <sz val="11"/>
      <color indexed="55"/>
      <name val="Calibri"/>
      <family val="2"/>
    </font>
    <font>
      <i/>
      <sz val="16"/>
      <color indexed="8"/>
      <name val="Calibri"/>
      <family val="2"/>
    </font>
    <font>
      <sz val="10"/>
      <color indexed="8"/>
      <name val="Tahoma"/>
      <family val="2"/>
    </font>
    <font>
      <b/>
      <sz val="12"/>
      <color indexed="8"/>
      <name val="Calibri"/>
      <family val="2"/>
    </font>
    <font>
      <b/>
      <sz val="14"/>
      <color indexed="8"/>
      <name val="Calibri"/>
      <family val="2"/>
    </font>
    <font>
      <sz val="16"/>
      <color indexed="8"/>
      <name val="Calibri"/>
      <family val="2"/>
    </font>
    <font>
      <sz val="12"/>
      <color indexed="8"/>
      <name val="Calibri"/>
      <family val="2"/>
    </font>
    <font>
      <sz val="7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sz val="9"/>
      <color indexed="63"/>
      <name val="Calibri"/>
      <family val="0"/>
    </font>
    <font>
      <sz val="10"/>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theme="1"/>
      <name val="Calibri"/>
      <family val="2"/>
    </font>
    <font>
      <sz val="11"/>
      <color theme="0" tint="-0.1499900072813034"/>
      <name val="Calibri"/>
      <family val="2"/>
    </font>
    <font>
      <sz val="11"/>
      <color theme="0" tint="-0.4999699890613556"/>
      <name val="Calibri"/>
      <family val="2"/>
    </font>
    <font>
      <sz val="20"/>
      <color theme="1"/>
      <name val="Calibri"/>
      <family val="2"/>
    </font>
    <font>
      <i/>
      <sz val="12"/>
      <color theme="1"/>
      <name val="Calibri"/>
      <family val="2"/>
    </font>
    <font>
      <sz val="11"/>
      <color theme="0" tint="-0.24997000396251678"/>
      <name val="Calibri"/>
      <family val="2"/>
    </font>
    <font>
      <sz val="11"/>
      <color theme="2" tint="-0.4999699890613556"/>
      <name val="Calibri"/>
      <family val="2"/>
    </font>
    <font>
      <i/>
      <sz val="16"/>
      <color theme="1"/>
      <name val="Calibri"/>
      <family val="2"/>
    </font>
    <font>
      <sz val="10"/>
      <color theme="1"/>
      <name val="Tahoma"/>
      <family val="2"/>
    </font>
    <font>
      <b/>
      <sz val="12"/>
      <color theme="1"/>
      <name val="Calibri"/>
      <family val="2"/>
    </font>
    <font>
      <b/>
      <sz val="14"/>
      <color theme="1"/>
      <name val="Calibri"/>
      <family val="2"/>
    </font>
    <font>
      <sz val="16"/>
      <color theme="1"/>
      <name val="Calibri"/>
      <family val="2"/>
    </font>
    <font>
      <sz val="12"/>
      <color theme="1"/>
      <name val="Calibri"/>
      <family val="2"/>
    </font>
    <font>
      <sz val="7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medium"/>
      <top style="medium"/>
      <bottom/>
    </border>
    <border>
      <left style="medium"/>
      <right/>
      <top/>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medium"/>
      <top style="medium"/>
      <bottom/>
    </border>
    <border>
      <left style="medium"/>
      <right/>
      <top style="medium"/>
      <bottom/>
    </border>
    <border>
      <left style="medium"/>
      <right/>
      <top style="thin"/>
      <bottom style="medium"/>
    </border>
    <border>
      <left style="medium"/>
      <right style="medium"/>
      <top style="medium"/>
      <bottom style="thin"/>
    </border>
    <border>
      <left style="medium"/>
      <right style="thin"/>
      <top style="thin"/>
      <bottom style="thin"/>
    </border>
    <border>
      <left/>
      <right/>
      <top style="medium"/>
      <bottom/>
    </border>
    <border>
      <left/>
      <right style="medium"/>
      <top/>
      <bottom/>
    </border>
    <border>
      <left style="thin"/>
      <right/>
      <top style="thin"/>
      <bottom style="thin"/>
    </border>
    <border>
      <left style="thin"/>
      <right style="thin"/>
      <top/>
      <bottom style="medium"/>
    </border>
    <border>
      <left style="medium"/>
      <right/>
      <top style="medium"/>
      <bottom style="thin"/>
    </border>
    <border>
      <left style="thin"/>
      <right/>
      <top style="thin"/>
      <bottom style="medium"/>
    </border>
    <border>
      <left style="thin"/>
      <right style="medium"/>
      <top style="thin"/>
      <bottom style="thin"/>
    </border>
    <border>
      <left style="thin"/>
      <right style="medium"/>
      <top/>
      <bottom style="medium"/>
    </border>
    <border>
      <left style="thin"/>
      <right style="medium"/>
      <top style="thin"/>
      <bottom style="medium"/>
    </border>
    <border>
      <left/>
      <right/>
      <top style="medium"/>
      <bottom style="medium"/>
    </border>
    <border>
      <left style="thin"/>
      <right style="medium"/>
      <top style="thin"/>
      <bottom/>
    </border>
    <border>
      <left style="thin"/>
      <right style="thin"/>
      <top/>
      <bottom style="thin"/>
    </border>
    <border>
      <left style="medium"/>
      <right style="thin"/>
      <top style="thin"/>
      <bottom style="medium"/>
    </border>
    <border>
      <left style="thin"/>
      <right style="thin"/>
      <top/>
      <bottom/>
    </border>
    <border>
      <left style="medium"/>
      <right/>
      <top style="medium"/>
      <bottom style="medium"/>
    </border>
    <border>
      <left style="thin"/>
      <right style="medium"/>
      <top style="medium"/>
      <bottom style="medium"/>
    </border>
    <border>
      <left style="thin">
        <color theme="2" tint="-0.4999699890613556"/>
      </left>
      <right style="thin">
        <color theme="2" tint="-0.4999699890613556"/>
      </right>
      <top style="thin">
        <color theme="2" tint="-0.4999699890613556"/>
      </top>
      <bottom/>
    </border>
    <border>
      <left style="thin">
        <color theme="2" tint="-0.4999699890613556"/>
      </left>
      <right style="thin">
        <color theme="2" tint="-0.4999699890613556"/>
      </right>
      <top/>
      <bottom/>
    </border>
    <border>
      <left style="thin">
        <color theme="2" tint="-0.4999699890613556"/>
      </left>
      <right style="thin">
        <color theme="2" tint="-0.4999699890613556"/>
      </right>
      <top/>
      <bottom style="thin">
        <color theme="2" tint="-0.4999699890613556"/>
      </bottom>
    </border>
    <border>
      <left style="thin"/>
      <right style="medium"/>
      <top/>
      <bottom style="thin"/>
    </border>
    <border>
      <left/>
      <right/>
      <top/>
      <bottom style="thin">
        <color theme="1"/>
      </bottom>
    </border>
    <border>
      <left/>
      <right/>
      <top/>
      <bottom style="thick"/>
    </border>
    <border>
      <left/>
      <right/>
      <top style="thick"/>
      <bottom/>
    </border>
    <border>
      <left style="medium"/>
      <right/>
      <top style="thin"/>
      <bottom/>
    </border>
    <border>
      <left style="medium"/>
      <right/>
      <top/>
      <bottom style="thick"/>
    </border>
    <border>
      <left style="medium"/>
      <right style="thin"/>
      <top style="medium"/>
      <bottom style="medium"/>
    </border>
    <border>
      <left style="thin"/>
      <right style="medium"/>
      <top/>
      <bottom/>
    </border>
    <border>
      <left style="thin"/>
      <right/>
      <top style="thin"/>
      <bottom/>
    </border>
    <border>
      <left/>
      <right style="thin"/>
      <top/>
      <bottom/>
    </border>
    <border>
      <left style="medium"/>
      <right style="medium"/>
      <top/>
      <bottom/>
    </border>
    <border>
      <left style="medium"/>
      <right/>
      <top style="thin"/>
      <bottom style="thin"/>
    </border>
    <border>
      <left style="medium"/>
      <right style="thin"/>
      <top style="thin"/>
      <bottom/>
    </border>
    <border>
      <left style="medium"/>
      <right style="thin"/>
      <top/>
      <bottom style="medium"/>
    </border>
    <border>
      <left/>
      <right/>
      <top/>
      <bottom style="medium"/>
    </border>
    <border>
      <left style="medium"/>
      <right style="medium"/>
      <top style="thin"/>
      <bottom style="medium"/>
    </border>
    <border>
      <left/>
      <right style="thin"/>
      <top style="thin"/>
      <bottom style="thin"/>
    </border>
    <border>
      <left/>
      <right style="medium"/>
      <top style="thin"/>
      <bottom style="thin"/>
    </border>
    <border>
      <left/>
      <right style="medium"/>
      <top style="medium"/>
      <bottom style="thin"/>
    </border>
    <border>
      <left/>
      <right style="medium"/>
      <top style="medium"/>
      <bottom style="medium"/>
    </border>
    <border>
      <left/>
      <right style="medium"/>
      <top/>
      <bottom style="medium"/>
    </border>
    <border>
      <left style="thin"/>
      <right/>
      <top style="medium"/>
      <bottom/>
    </border>
    <border>
      <left style="medium"/>
      <right style="thin"/>
      <top style="medium"/>
      <bottom/>
    </border>
    <border>
      <left style="medium"/>
      <right style="thin"/>
      <top/>
      <bottom style="thin"/>
    </border>
    <border>
      <left/>
      <right/>
      <top style="thin"/>
      <bottom style="thin"/>
    </border>
    <border>
      <left style="medium"/>
      <right/>
      <top/>
      <bottom style="thin"/>
    </border>
    <border>
      <left style="thin"/>
      <right/>
      <top style="medium"/>
      <bottom style="thin"/>
    </border>
    <border>
      <left/>
      <right/>
      <top style="medium"/>
      <bottom style="thin"/>
    </border>
    <border>
      <left/>
      <right style="thin"/>
      <top style="medium"/>
      <bottom/>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1">
    <xf numFmtId="0" fontId="0" fillId="0" borderId="0" xfId="0" applyFont="1" applyAlignment="1">
      <alignment/>
    </xf>
    <xf numFmtId="0" fontId="5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5"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4" xfId="0" applyFill="1" applyBorder="1" applyAlignment="1">
      <alignment/>
    </xf>
    <xf numFmtId="0" fontId="55" fillId="0" borderId="19" xfId="0" applyFont="1" applyBorder="1" applyAlignment="1">
      <alignment/>
    </xf>
    <xf numFmtId="0" fontId="55" fillId="0" borderId="20" xfId="0" applyFont="1" applyBorder="1" applyAlignment="1">
      <alignment/>
    </xf>
    <xf numFmtId="0" fontId="0" fillId="0" borderId="21" xfId="0" applyBorder="1" applyAlignment="1">
      <alignment/>
    </xf>
    <xf numFmtId="0" fontId="55" fillId="0" borderId="22" xfId="0" applyFont="1" applyBorder="1" applyAlignment="1">
      <alignment/>
    </xf>
    <xf numFmtId="0" fontId="0" fillId="0" borderId="23" xfId="0" applyBorder="1" applyAlignment="1">
      <alignment/>
    </xf>
    <xf numFmtId="0" fontId="0" fillId="33" borderId="24"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25" xfId="0" applyFill="1" applyBorder="1" applyAlignment="1">
      <alignment/>
    </xf>
    <xf numFmtId="0" fontId="55" fillId="5" borderId="22" xfId="0" applyFont="1" applyFill="1" applyBorder="1" applyAlignment="1">
      <alignment/>
    </xf>
    <xf numFmtId="0" fontId="55" fillId="5" borderId="15" xfId="0" applyFont="1" applyFill="1" applyBorder="1" applyAlignment="1">
      <alignment/>
    </xf>
    <xf numFmtId="0" fontId="0" fillId="5" borderId="16" xfId="0" applyFill="1" applyBorder="1" applyAlignment="1">
      <alignment/>
    </xf>
    <xf numFmtId="0" fontId="0" fillId="5" borderId="13" xfId="0" applyFill="1" applyBorder="1" applyAlignment="1">
      <alignment/>
    </xf>
    <xf numFmtId="0" fontId="0" fillId="5" borderId="11" xfId="0" applyFill="1" applyBorder="1" applyAlignment="1">
      <alignment/>
    </xf>
    <xf numFmtId="0" fontId="0" fillId="5" borderId="14" xfId="0" applyFill="1" applyBorder="1" applyAlignment="1">
      <alignment/>
    </xf>
    <xf numFmtId="0" fontId="0" fillId="5" borderId="18" xfId="0" applyFill="1" applyBorder="1" applyAlignment="1">
      <alignment/>
    </xf>
    <xf numFmtId="0" fontId="0" fillId="5" borderId="17" xfId="0" applyFill="1" applyBorder="1" applyAlignment="1">
      <alignment/>
    </xf>
    <xf numFmtId="0" fontId="0" fillId="0" borderId="26" xfId="0" applyBorder="1" applyAlignment="1">
      <alignment/>
    </xf>
    <xf numFmtId="0" fontId="0" fillId="5" borderId="26" xfId="0" applyFill="1" applyBorder="1" applyAlignment="1">
      <alignment/>
    </xf>
    <xf numFmtId="0" fontId="55" fillId="0" borderId="20" xfId="0" applyFont="1" applyFill="1" applyBorder="1" applyAlignment="1">
      <alignment/>
    </xf>
    <xf numFmtId="0" fontId="0" fillId="0" borderId="23" xfId="0" applyFont="1" applyFill="1" applyBorder="1" applyAlignment="1">
      <alignment/>
    </xf>
    <xf numFmtId="0" fontId="0" fillId="0" borderId="23" xfId="0" applyBorder="1" applyAlignment="1">
      <alignment horizontal="left"/>
    </xf>
    <xf numFmtId="0" fontId="0" fillId="0" borderId="10" xfId="0" applyFont="1" applyFill="1" applyBorder="1" applyAlignment="1">
      <alignment/>
    </xf>
    <xf numFmtId="0" fontId="0" fillId="0" borderId="27" xfId="0" applyFont="1" applyFill="1" applyBorder="1" applyAlignment="1">
      <alignment/>
    </xf>
    <xf numFmtId="0" fontId="0" fillId="0" borderId="28" xfId="0" applyBorder="1" applyAlignment="1">
      <alignment/>
    </xf>
    <xf numFmtId="0" fontId="0" fillId="13" borderId="11" xfId="0" applyFill="1" applyBorder="1" applyAlignment="1">
      <alignment/>
    </xf>
    <xf numFmtId="0" fontId="0" fillId="13" borderId="26" xfId="0" applyFill="1" applyBorder="1" applyAlignment="1">
      <alignment/>
    </xf>
    <xf numFmtId="0" fontId="0" fillId="13" borderId="18" xfId="0" applyFill="1" applyBorder="1" applyAlignment="1">
      <alignment/>
    </xf>
    <xf numFmtId="0" fontId="0" fillId="13" borderId="29" xfId="0" applyFill="1" applyBorder="1" applyAlignment="1">
      <alignment/>
    </xf>
    <xf numFmtId="0" fontId="0" fillId="13" borderId="30" xfId="0" applyFill="1" applyBorder="1" applyAlignment="1">
      <alignment/>
    </xf>
    <xf numFmtId="0" fontId="0" fillId="13" borderId="30" xfId="0" applyFill="1" applyBorder="1" applyAlignment="1">
      <alignment horizontal="right"/>
    </xf>
    <xf numFmtId="0" fontId="0" fillId="13" borderId="31" xfId="0" applyFont="1" applyFill="1" applyBorder="1" applyAlignment="1">
      <alignment/>
    </xf>
    <xf numFmtId="0" fontId="0" fillId="13" borderId="32" xfId="0" applyFill="1" applyBorder="1" applyAlignment="1">
      <alignment/>
    </xf>
    <xf numFmtId="0" fontId="0" fillId="9" borderId="30" xfId="0" applyFill="1" applyBorder="1" applyAlignment="1">
      <alignment/>
    </xf>
    <xf numFmtId="0" fontId="0" fillId="9" borderId="32" xfId="0" applyFill="1" applyBorder="1" applyAlignment="1">
      <alignment/>
    </xf>
    <xf numFmtId="0" fontId="0" fillId="0" borderId="33" xfId="0" applyBorder="1" applyAlignment="1">
      <alignment/>
    </xf>
    <xf numFmtId="0" fontId="0" fillId="9" borderId="11" xfId="0" applyFill="1" applyBorder="1" applyAlignment="1">
      <alignment/>
    </xf>
    <xf numFmtId="0" fontId="0" fillId="9" borderId="26" xfId="0" applyFill="1" applyBorder="1" applyAlignment="1">
      <alignment/>
    </xf>
    <xf numFmtId="0" fontId="0" fillId="9" borderId="10" xfId="0" applyFill="1" applyBorder="1" applyAlignment="1">
      <alignment/>
    </xf>
    <xf numFmtId="0" fontId="0" fillId="9" borderId="18" xfId="0" applyFill="1" applyBorder="1" applyAlignment="1">
      <alignment/>
    </xf>
    <xf numFmtId="0" fontId="0" fillId="13" borderId="34" xfId="0" applyFill="1" applyBorder="1" applyAlignment="1">
      <alignment/>
    </xf>
    <xf numFmtId="0" fontId="0" fillId="13" borderId="10" xfId="0" applyFill="1" applyBorder="1" applyAlignment="1">
      <alignment/>
    </xf>
    <xf numFmtId="0" fontId="0" fillId="5" borderId="35" xfId="0" applyFill="1" applyBorder="1" applyAlignment="1">
      <alignment/>
    </xf>
    <xf numFmtId="0" fontId="0" fillId="5" borderId="13" xfId="0" applyFont="1" applyFill="1" applyBorder="1" applyAlignment="1">
      <alignment/>
    </xf>
    <xf numFmtId="0" fontId="0" fillId="0" borderId="13" xfId="0" applyFont="1" applyBorder="1" applyAlignment="1">
      <alignment horizontal="left"/>
    </xf>
    <xf numFmtId="0" fontId="58" fillId="34" borderId="0" xfId="0" applyFont="1" applyFill="1" applyAlignment="1">
      <alignment/>
    </xf>
    <xf numFmtId="0" fontId="55" fillId="0" borderId="0" xfId="0" applyFont="1" applyAlignment="1">
      <alignment horizontal="left"/>
    </xf>
    <xf numFmtId="0" fontId="0" fillId="0" borderId="36" xfId="0" applyBorder="1" applyAlignment="1">
      <alignment/>
    </xf>
    <xf numFmtId="0" fontId="0" fillId="0" borderId="35" xfId="0" applyBorder="1" applyAlignment="1">
      <alignment/>
    </xf>
    <xf numFmtId="0" fontId="55" fillId="0" borderId="28" xfId="0" applyFont="1" applyBorder="1" applyAlignment="1">
      <alignment/>
    </xf>
    <xf numFmtId="0" fontId="0" fillId="0" borderId="0" xfId="0" applyFill="1" applyAlignment="1">
      <alignment/>
    </xf>
    <xf numFmtId="0" fontId="0" fillId="35" borderId="11" xfId="0" applyFill="1" applyBorder="1" applyAlignment="1">
      <alignment horizontal="center"/>
    </xf>
    <xf numFmtId="0" fontId="0" fillId="13" borderId="37" xfId="0" applyFill="1" applyBorder="1" applyAlignment="1">
      <alignment/>
    </xf>
    <xf numFmtId="0" fontId="55" fillId="0" borderId="38" xfId="0" applyFont="1" applyBorder="1" applyAlignment="1">
      <alignment/>
    </xf>
    <xf numFmtId="0" fontId="55" fillId="9" borderId="39" xfId="0" applyFont="1" applyFill="1" applyBorder="1" applyAlignment="1">
      <alignment horizontal="left"/>
    </xf>
    <xf numFmtId="0" fontId="59" fillId="0" borderId="40" xfId="0" applyFont="1" applyBorder="1" applyAlignment="1">
      <alignment/>
    </xf>
    <xf numFmtId="0" fontId="59" fillId="0" borderId="41" xfId="0" applyFont="1" applyBorder="1" applyAlignment="1">
      <alignment/>
    </xf>
    <xf numFmtId="0" fontId="59" fillId="0" borderId="42" xfId="0" applyFont="1" applyBorder="1" applyAlignment="1">
      <alignment/>
    </xf>
    <xf numFmtId="0" fontId="59" fillId="0" borderId="41" xfId="0" applyFont="1" applyFill="1" applyBorder="1" applyAlignment="1">
      <alignment/>
    </xf>
    <xf numFmtId="0" fontId="59" fillId="0" borderId="42" xfId="0" applyFont="1" applyFill="1" applyBorder="1" applyAlignment="1">
      <alignment/>
    </xf>
    <xf numFmtId="0" fontId="59" fillId="0" borderId="40" xfId="0" applyFont="1" applyFill="1" applyBorder="1" applyAlignment="1">
      <alignment/>
    </xf>
    <xf numFmtId="0" fontId="0" fillId="33" borderId="0" xfId="0" applyFill="1" applyAlignment="1">
      <alignment/>
    </xf>
    <xf numFmtId="0" fontId="60" fillId="33" borderId="0" xfId="0" applyFont="1" applyFill="1" applyAlignment="1">
      <alignment/>
    </xf>
    <xf numFmtId="0" fontId="61" fillId="33" borderId="0" xfId="0" applyFont="1" applyFill="1" applyAlignment="1">
      <alignment/>
    </xf>
    <xf numFmtId="0" fontId="0" fillId="33" borderId="0" xfId="0" applyFill="1" applyAlignment="1">
      <alignment vertical="top" wrapText="1"/>
    </xf>
    <xf numFmtId="0" fontId="62" fillId="33" borderId="0" xfId="0" applyFont="1" applyFill="1" applyAlignment="1">
      <alignment/>
    </xf>
    <xf numFmtId="0" fontId="58" fillId="33" borderId="0" xfId="0" applyFont="1" applyFill="1" applyAlignment="1">
      <alignment/>
    </xf>
    <xf numFmtId="0" fontId="59" fillId="33" borderId="0" xfId="0" applyFont="1" applyFill="1" applyAlignment="1">
      <alignment/>
    </xf>
    <xf numFmtId="0" fontId="59" fillId="33" borderId="0" xfId="0" applyFont="1" applyFill="1" applyBorder="1" applyAlignment="1">
      <alignment/>
    </xf>
    <xf numFmtId="0" fontId="63" fillId="33" borderId="0" xfId="0" applyFont="1" applyFill="1" applyBorder="1" applyAlignment="1">
      <alignment/>
    </xf>
    <xf numFmtId="0" fontId="63" fillId="33" borderId="0" xfId="0" applyFont="1" applyFill="1" applyAlignment="1">
      <alignment/>
    </xf>
    <xf numFmtId="0" fontId="64" fillId="0" borderId="0" xfId="0" applyFont="1" applyAlignment="1">
      <alignment/>
    </xf>
    <xf numFmtId="0" fontId="64" fillId="33" borderId="0" xfId="0" applyFont="1" applyFill="1" applyAlignment="1">
      <alignment/>
    </xf>
    <xf numFmtId="0" fontId="57" fillId="33" borderId="0" xfId="0" applyFont="1" applyFill="1" applyAlignment="1">
      <alignment horizontal="center"/>
    </xf>
    <xf numFmtId="0" fontId="55" fillId="33" borderId="0" xfId="0" applyFont="1" applyFill="1" applyAlignment="1">
      <alignment/>
    </xf>
    <xf numFmtId="0" fontId="0" fillId="33" borderId="0" xfId="0" applyFill="1" applyAlignment="1">
      <alignment horizontal="left" vertical="top" wrapText="1"/>
    </xf>
    <xf numFmtId="0" fontId="0" fillId="33" borderId="0" xfId="0" applyFill="1" applyAlignment="1">
      <alignment horizontal="left" vertical="top"/>
    </xf>
    <xf numFmtId="0" fontId="0" fillId="33" borderId="0" xfId="0" applyFill="1" applyAlignment="1">
      <alignment vertical="top"/>
    </xf>
    <xf numFmtId="0" fontId="0" fillId="33" borderId="0" xfId="0" applyFill="1" applyBorder="1" applyAlignment="1">
      <alignment horizontal="left" vertical="top"/>
    </xf>
    <xf numFmtId="0" fontId="0" fillId="9" borderId="43" xfId="0" applyFill="1" applyBorder="1" applyAlignment="1">
      <alignment/>
    </xf>
    <xf numFmtId="1" fontId="58" fillId="33" borderId="0" xfId="0" applyNumberFormat="1" applyFont="1" applyFill="1" applyAlignment="1">
      <alignment/>
    </xf>
    <xf numFmtId="9" fontId="57" fillId="33" borderId="0" xfId="57" applyFont="1" applyFill="1" applyAlignment="1">
      <alignment horizontal="left"/>
    </xf>
    <xf numFmtId="3" fontId="0" fillId="9" borderId="32" xfId="0" applyNumberFormat="1" applyFill="1" applyBorder="1" applyAlignment="1">
      <alignment/>
    </xf>
    <xf numFmtId="3" fontId="0" fillId="9" borderId="30" xfId="0" applyNumberFormat="1" applyFill="1" applyBorder="1" applyAlignment="1">
      <alignment/>
    </xf>
    <xf numFmtId="3" fontId="55" fillId="9" borderId="30" xfId="0" applyNumberFormat="1" applyFont="1" applyFill="1" applyBorder="1" applyAlignment="1">
      <alignment/>
    </xf>
    <xf numFmtId="3" fontId="55" fillId="9" borderId="32" xfId="0" applyNumberFormat="1" applyFont="1" applyFill="1" applyBorder="1" applyAlignment="1">
      <alignment/>
    </xf>
    <xf numFmtId="3" fontId="0" fillId="9" borderId="34" xfId="0" applyNumberFormat="1" applyFill="1" applyBorder="1" applyAlignment="1">
      <alignment/>
    </xf>
    <xf numFmtId="3" fontId="0" fillId="9" borderId="43" xfId="0" applyNumberFormat="1" applyFont="1" applyFill="1" applyBorder="1" applyAlignment="1">
      <alignment horizontal="right"/>
    </xf>
    <xf numFmtId="3" fontId="0" fillId="9" borderId="30" xfId="0" applyNumberFormat="1" applyFill="1" applyBorder="1" applyAlignment="1">
      <alignment horizontal="right"/>
    </xf>
    <xf numFmtId="3" fontId="0" fillId="9" borderId="32" xfId="0" applyNumberFormat="1" applyFill="1" applyBorder="1" applyAlignment="1">
      <alignment horizontal="right"/>
    </xf>
    <xf numFmtId="0" fontId="65" fillId="33" borderId="0" xfId="0" applyFont="1" applyFill="1" applyAlignment="1">
      <alignment vertical="top" wrapText="1"/>
    </xf>
    <xf numFmtId="0" fontId="0" fillId="33" borderId="0" xfId="0" applyFill="1" applyAlignment="1">
      <alignment horizontal="left" vertical="top"/>
    </xf>
    <xf numFmtId="1" fontId="0" fillId="9" borderId="39" xfId="0" applyNumberFormat="1" applyFill="1" applyBorder="1" applyAlignment="1">
      <alignment/>
    </xf>
    <xf numFmtId="0" fontId="0" fillId="33" borderId="0" xfId="0" applyFill="1" applyBorder="1" applyAlignment="1">
      <alignment horizontal="center"/>
    </xf>
    <xf numFmtId="0" fontId="58" fillId="34" borderId="0" xfId="0" applyFont="1" applyFill="1" applyBorder="1" applyAlignment="1">
      <alignment/>
    </xf>
    <xf numFmtId="0" fontId="61" fillId="33" borderId="0" xfId="0" applyFont="1" applyFill="1" applyBorder="1" applyAlignment="1">
      <alignment/>
    </xf>
    <xf numFmtId="0" fontId="57" fillId="33" borderId="0" xfId="0" applyFont="1" applyFill="1" applyBorder="1" applyAlignment="1">
      <alignment/>
    </xf>
    <xf numFmtId="0" fontId="0" fillId="33" borderId="0" xfId="0" applyFill="1" applyBorder="1" applyAlignment="1">
      <alignment vertical="top"/>
    </xf>
    <xf numFmtId="0" fontId="58" fillId="33" borderId="0" xfId="0" applyFont="1" applyFill="1" applyBorder="1" applyAlignment="1">
      <alignment/>
    </xf>
    <xf numFmtId="0" fontId="66" fillId="33" borderId="44" xfId="0" applyFont="1" applyFill="1" applyBorder="1" applyAlignment="1">
      <alignment/>
    </xf>
    <xf numFmtId="0" fontId="0" fillId="33" borderId="45" xfId="0" applyFill="1" applyBorder="1" applyAlignment="1">
      <alignment/>
    </xf>
    <xf numFmtId="0" fontId="58" fillId="33" borderId="45" xfId="0" applyFont="1" applyFill="1" applyBorder="1" applyAlignment="1">
      <alignment/>
    </xf>
    <xf numFmtId="0" fontId="0" fillId="33" borderId="45" xfId="0" applyFill="1" applyBorder="1" applyAlignment="1">
      <alignment horizontal="center"/>
    </xf>
    <xf numFmtId="0" fontId="0" fillId="33" borderId="46" xfId="0" applyFill="1" applyBorder="1" applyAlignment="1">
      <alignment/>
    </xf>
    <xf numFmtId="0" fontId="58" fillId="33" borderId="46" xfId="0" applyFont="1" applyFill="1" applyBorder="1" applyAlignment="1">
      <alignment/>
    </xf>
    <xf numFmtId="0" fontId="0" fillId="33" borderId="47" xfId="0" applyFill="1" applyBorder="1" applyAlignment="1">
      <alignment/>
    </xf>
    <xf numFmtId="0" fontId="0" fillId="33" borderId="48" xfId="0" applyFill="1" applyBorder="1" applyAlignment="1">
      <alignment/>
    </xf>
    <xf numFmtId="0" fontId="0" fillId="33" borderId="0" xfId="0" applyFont="1" applyFill="1" applyAlignment="1">
      <alignment/>
    </xf>
    <xf numFmtId="0" fontId="0" fillId="33" borderId="0" xfId="0" applyFill="1" applyBorder="1" applyAlignment="1">
      <alignment horizontal="left"/>
    </xf>
    <xf numFmtId="3" fontId="0" fillId="9" borderId="43" xfId="0" applyNumberFormat="1" applyFill="1" applyBorder="1" applyAlignment="1">
      <alignment/>
    </xf>
    <xf numFmtId="0" fontId="0" fillId="0" borderId="30" xfId="0" applyBorder="1" applyAlignment="1">
      <alignment/>
    </xf>
    <xf numFmtId="0" fontId="0" fillId="9" borderId="34" xfId="0" applyFill="1" applyBorder="1" applyAlignment="1">
      <alignment/>
    </xf>
    <xf numFmtId="0" fontId="0" fillId="0" borderId="49" xfId="0" applyBorder="1" applyAlignment="1">
      <alignment horizontal="right"/>
    </xf>
    <xf numFmtId="0" fontId="0" fillId="9" borderId="39" xfId="0" applyFill="1" applyBorder="1" applyAlignment="1">
      <alignment/>
    </xf>
    <xf numFmtId="0" fontId="0" fillId="0" borderId="13" xfId="0" applyFont="1" applyBorder="1" applyAlignment="1">
      <alignment/>
    </xf>
    <xf numFmtId="0" fontId="55" fillId="0" borderId="0" xfId="0" applyFont="1" applyBorder="1" applyAlignment="1">
      <alignment horizont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xf>
    <xf numFmtId="0" fontId="0" fillId="36" borderId="0" xfId="0" applyFill="1" applyAlignment="1">
      <alignment/>
    </xf>
    <xf numFmtId="164" fontId="0" fillId="0" borderId="18" xfId="42" applyNumberFormat="1" applyFont="1" applyBorder="1" applyAlignment="1">
      <alignment/>
    </xf>
    <xf numFmtId="3" fontId="0" fillId="0" borderId="11" xfId="0" applyNumberFormat="1" applyBorder="1" applyAlignment="1">
      <alignment/>
    </xf>
    <xf numFmtId="3" fontId="0" fillId="5" borderId="11" xfId="0" applyNumberFormat="1" applyFill="1" applyBorder="1" applyAlignment="1">
      <alignment/>
    </xf>
    <xf numFmtId="0" fontId="0" fillId="5" borderId="10" xfId="0" applyFill="1" applyBorder="1" applyAlignment="1">
      <alignment/>
    </xf>
    <xf numFmtId="0" fontId="0" fillId="33" borderId="14" xfId="0" applyFill="1" applyBorder="1" applyAlignment="1">
      <alignment/>
    </xf>
    <xf numFmtId="1" fontId="0" fillId="9" borderId="30" xfId="0" applyNumberFormat="1" applyFill="1" applyBorder="1" applyAlignment="1">
      <alignment/>
    </xf>
    <xf numFmtId="2" fontId="0" fillId="13" borderId="30" xfId="0" applyNumberFormat="1" applyFill="1" applyBorder="1" applyAlignment="1">
      <alignment/>
    </xf>
    <xf numFmtId="2" fontId="0" fillId="13" borderId="34" xfId="0" applyNumberFormat="1" applyFill="1" applyBorder="1" applyAlignment="1">
      <alignment/>
    </xf>
    <xf numFmtId="164" fontId="0" fillId="13" borderId="11" xfId="42" applyNumberFormat="1" applyFont="1" applyFill="1" applyBorder="1" applyAlignment="1">
      <alignment/>
    </xf>
    <xf numFmtId="2" fontId="0" fillId="0" borderId="11" xfId="0" applyNumberFormat="1" applyBorder="1" applyAlignment="1">
      <alignment/>
    </xf>
    <xf numFmtId="0" fontId="0" fillId="13" borderId="10" xfId="0" applyFont="1" applyFill="1" applyBorder="1" applyAlignment="1">
      <alignment/>
    </xf>
    <xf numFmtId="3" fontId="0" fillId="9" borderId="50" xfId="0" applyNumberFormat="1" applyFill="1" applyBorder="1" applyAlignment="1">
      <alignment/>
    </xf>
    <xf numFmtId="0" fontId="56" fillId="0" borderId="0" xfId="0" applyFont="1" applyAlignment="1">
      <alignment/>
    </xf>
    <xf numFmtId="2" fontId="0" fillId="13" borderId="51" xfId="0" applyNumberFormat="1" applyFill="1" applyBorder="1" applyAlignment="1">
      <alignment/>
    </xf>
    <xf numFmtId="0" fontId="0" fillId="13" borderId="27" xfId="0" applyFill="1" applyBorder="1" applyAlignment="1">
      <alignment/>
    </xf>
    <xf numFmtId="0" fontId="0" fillId="0" borderId="49" xfId="0" applyBorder="1" applyAlignment="1">
      <alignment horizontal="right"/>
    </xf>
    <xf numFmtId="0" fontId="0" fillId="13" borderId="30" xfId="0" applyFont="1" applyFill="1" applyBorder="1" applyAlignment="1">
      <alignment/>
    </xf>
    <xf numFmtId="2" fontId="0" fillId="0" borderId="10" xfId="0" applyNumberFormat="1" applyBorder="1" applyAlignment="1">
      <alignment/>
    </xf>
    <xf numFmtId="0" fontId="0" fillId="13" borderId="51" xfId="0" applyFont="1" applyFill="1" applyBorder="1" applyAlignment="1">
      <alignment/>
    </xf>
    <xf numFmtId="0" fontId="57" fillId="33" borderId="0" xfId="0" applyFont="1" applyFill="1" applyAlignment="1">
      <alignment/>
    </xf>
    <xf numFmtId="0" fontId="0" fillId="0" borderId="52" xfId="0" applyFill="1" applyBorder="1" applyAlignment="1">
      <alignment/>
    </xf>
    <xf numFmtId="2" fontId="0" fillId="9" borderId="11" xfId="0" applyNumberFormat="1" applyFill="1" applyBorder="1" applyAlignment="1">
      <alignment/>
    </xf>
    <xf numFmtId="2" fontId="0" fillId="9" borderId="18" xfId="0" applyNumberFormat="1" applyFill="1" applyBorder="1" applyAlignment="1">
      <alignment/>
    </xf>
    <xf numFmtId="1" fontId="0" fillId="9" borderId="11" xfId="0" applyNumberFormat="1" applyFill="1" applyBorder="1" applyAlignment="1">
      <alignment/>
    </xf>
    <xf numFmtId="1" fontId="0" fillId="9" borderId="18" xfId="0" applyNumberFormat="1" applyFill="1" applyBorder="1" applyAlignment="1">
      <alignment/>
    </xf>
    <xf numFmtId="165" fontId="0" fillId="13" borderId="11" xfId="0" applyNumberFormat="1" applyFill="1" applyBorder="1" applyAlignment="1">
      <alignment/>
    </xf>
    <xf numFmtId="0" fontId="0" fillId="33" borderId="53" xfId="0" applyFill="1" applyBorder="1" applyAlignment="1">
      <alignment/>
    </xf>
    <xf numFmtId="0" fontId="0" fillId="13" borderId="43" xfId="0" applyFill="1" applyBorder="1" applyAlignment="1">
      <alignment/>
    </xf>
    <xf numFmtId="1" fontId="0" fillId="9" borderId="10" xfId="0" applyNumberFormat="1" applyFill="1" applyBorder="1" applyAlignment="1">
      <alignment/>
    </xf>
    <xf numFmtId="1" fontId="0" fillId="9" borderId="34" xfId="0" applyNumberFormat="1" applyFill="1" applyBorder="1" applyAlignment="1">
      <alignment/>
    </xf>
    <xf numFmtId="0" fontId="0" fillId="0" borderId="11" xfId="0" applyFill="1" applyBorder="1" applyAlignment="1">
      <alignment/>
    </xf>
    <xf numFmtId="0" fontId="0" fillId="9" borderId="37" xfId="0" applyFill="1" applyBorder="1" applyAlignment="1">
      <alignment/>
    </xf>
    <xf numFmtId="165" fontId="0" fillId="0" borderId="11" xfId="0" applyNumberFormat="1" applyBorder="1" applyAlignment="1">
      <alignment/>
    </xf>
    <xf numFmtId="0" fontId="0" fillId="33" borderId="0" xfId="0" applyFont="1" applyFill="1" applyAlignment="1">
      <alignment horizontal="left" vertical="top" wrapText="1"/>
    </xf>
    <xf numFmtId="0" fontId="0" fillId="13" borderId="50" xfId="0" applyFill="1" applyBorder="1" applyAlignment="1">
      <alignment/>
    </xf>
    <xf numFmtId="0" fontId="0" fillId="33" borderId="0" xfId="0" applyFill="1" applyAlignment="1">
      <alignment/>
    </xf>
    <xf numFmtId="0" fontId="55" fillId="33" borderId="0" xfId="0" applyFont="1" applyFill="1" applyAlignment="1">
      <alignment/>
    </xf>
    <xf numFmtId="0" fontId="0" fillId="13" borderId="11" xfId="0" applyFont="1" applyFill="1" applyBorder="1" applyAlignment="1">
      <alignment/>
    </xf>
    <xf numFmtId="0" fontId="55" fillId="33" borderId="38" xfId="0" applyFont="1" applyFill="1" applyBorder="1" applyAlignment="1">
      <alignment horizontal="left" vertical="top"/>
    </xf>
    <xf numFmtId="0" fontId="0" fillId="34" borderId="0" xfId="0" applyFill="1" applyAlignment="1">
      <alignment/>
    </xf>
    <xf numFmtId="0" fontId="0" fillId="33" borderId="54" xfId="0" applyFill="1" applyBorder="1" applyAlignment="1">
      <alignment/>
    </xf>
    <xf numFmtId="0" fontId="0" fillId="33" borderId="0" xfId="0" applyFill="1" applyAlignment="1">
      <alignment horizontal="left" vertical="top" wrapText="1"/>
    </xf>
    <xf numFmtId="3" fontId="0" fillId="9" borderId="34" xfId="0" applyNumberFormat="1" applyFill="1" applyBorder="1" applyAlignment="1">
      <alignment horizontal="right"/>
    </xf>
    <xf numFmtId="0" fontId="0" fillId="9" borderId="32" xfId="0" applyFill="1" applyBorder="1" applyAlignment="1">
      <alignment horizontal="right"/>
    </xf>
    <xf numFmtId="3" fontId="55" fillId="9" borderId="34" xfId="0" applyNumberFormat="1" applyFont="1" applyFill="1" applyBorder="1" applyAlignment="1">
      <alignment/>
    </xf>
    <xf numFmtId="3" fontId="55" fillId="13" borderId="34" xfId="0" applyNumberFormat="1" applyFont="1" applyFill="1" applyBorder="1" applyAlignment="1">
      <alignment/>
    </xf>
    <xf numFmtId="3" fontId="55" fillId="9" borderId="32" xfId="42" applyNumberFormat="1" applyFont="1" applyFill="1" applyBorder="1" applyAlignment="1">
      <alignment horizontal="right"/>
    </xf>
    <xf numFmtId="0" fontId="59" fillId="0" borderId="0" xfId="0" applyFont="1" applyFill="1" applyBorder="1" applyAlignment="1">
      <alignment/>
    </xf>
    <xf numFmtId="1" fontId="0" fillId="9" borderId="30" xfId="0" applyNumberFormat="1" applyFill="1" applyBorder="1" applyAlignment="1">
      <alignment horizontal="right"/>
    </xf>
    <xf numFmtId="3" fontId="0" fillId="9" borderId="43" xfId="0" applyNumberFormat="1" applyFill="1" applyBorder="1" applyAlignment="1">
      <alignment horizontal="right"/>
    </xf>
    <xf numFmtId="3" fontId="55" fillId="9" borderId="30" xfId="0" applyNumberFormat="1" applyFont="1" applyFill="1" applyBorder="1" applyAlignment="1">
      <alignment horizontal="right"/>
    </xf>
    <xf numFmtId="164" fontId="0" fillId="13" borderId="18" xfId="42" applyNumberFormat="1" applyFont="1" applyFill="1" applyBorder="1" applyAlignment="1">
      <alignment/>
    </xf>
    <xf numFmtId="1" fontId="0" fillId="13" borderId="11" xfId="0" applyNumberFormat="1" applyFill="1" applyBorder="1" applyAlignment="1">
      <alignment/>
    </xf>
    <xf numFmtId="0" fontId="0" fillId="13" borderId="26" xfId="0" applyFont="1" applyFill="1" applyBorder="1" applyAlignment="1">
      <alignment/>
    </xf>
    <xf numFmtId="0" fontId="0" fillId="9" borderId="11" xfId="0" applyFont="1" applyFill="1" applyBorder="1" applyAlignment="1">
      <alignment/>
    </xf>
    <xf numFmtId="0" fontId="0" fillId="9" borderId="26" xfId="0" applyFont="1" applyFill="1" applyBorder="1" applyAlignment="1">
      <alignment/>
    </xf>
    <xf numFmtId="0" fontId="0" fillId="9" borderId="10" xfId="0" applyFont="1" applyFill="1" applyBorder="1" applyAlignment="1">
      <alignment/>
    </xf>
    <xf numFmtId="0" fontId="0" fillId="9" borderId="51" xfId="0" applyFont="1" applyFill="1" applyBorder="1" applyAlignment="1">
      <alignment/>
    </xf>
    <xf numFmtId="2" fontId="0" fillId="13" borderId="18" xfId="0" applyNumberFormat="1" applyFont="1" applyFill="1" applyBorder="1" applyAlignment="1">
      <alignment/>
    </xf>
    <xf numFmtId="0" fontId="0" fillId="13" borderId="18" xfId="0" applyFont="1" applyFill="1" applyBorder="1" applyAlignment="1">
      <alignment/>
    </xf>
    <xf numFmtId="1" fontId="0" fillId="13" borderId="11" xfId="0" applyNumberFormat="1" applyFont="1" applyFill="1" applyBorder="1" applyAlignment="1">
      <alignment/>
    </xf>
    <xf numFmtId="0" fontId="0" fillId="36" borderId="11" xfId="0" applyFill="1" applyBorder="1" applyAlignment="1">
      <alignment horizontal="center"/>
    </xf>
    <xf numFmtId="0" fontId="0" fillId="0" borderId="55" xfId="0" applyFont="1" applyFill="1" applyBorder="1" applyAlignment="1">
      <alignment/>
    </xf>
    <xf numFmtId="0" fontId="0" fillId="0" borderId="56" xfId="0" applyFont="1" applyFill="1" applyBorder="1" applyAlignment="1">
      <alignment/>
    </xf>
    <xf numFmtId="0" fontId="0" fillId="36" borderId="30" xfId="0" applyFill="1" applyBorder="1" applyAlignment="1">
      <alignment horizontal="center"/>
    </xf>
    <xf numFmtId="0" fontId="0" fillId="33" borderId="57" xfId="0" applyFill="1" applyBorder="1" applyAlignment="1">
      <alignment/>
    </xf>
    <xf numFmtId="0" fontId="0" fillId="36" borderId="18" xfId="0" applyFill="1" applyBorder="1" applyAlignment="1">
      <alignment horizontal="center"/>
    </xf>
    <xf numFmtId="0" fontId="0" fillId="36" borderId="32" xfId="0" applyFill="1" applyBorder="1" applyAlignment="1">
      <alignment horizontal="center"/>
    </xf>
    <xf numFmtId="0" fontId="0" fillId="33" borderId="37" xfId="0" applyFill="1" applyBorder="1" applyAlignment="1">
      <alignment/>
    </xf>
    <xf numFmtId="0" fontId="0" fillId="33" borderId="27" xfId="0" applyFill="1" applyBorder="1" applyAlignment="1">
      <alignment/>
    </xf>
    <xf numFmtId="0" fontId="0" fillId="0" borderId="49" xfId="0" applyBorder="1" applyAlignment="1">
      <alignment horizontal="right"/>
    </xf>
    <xf numFmtId="0" fontId="59" fillId="33" borderId="42" xfId="0" applyFont="1" applyFill="1" applyBorder="1" applyAlignment="1">
      <alignment/>
    </xf>
    <xf numFmtId="0" fontId="59" fillId="0" borderId="10" xfId="0" applyFont="1" applyBorder="1" applyAlignment="1">
      <alignment/>
    </xf>
    <xf numFmtId="0" fontId="59" fillId="0" borderId="37" xfId="0" applyFont="1" applyBorder="1" applyAlignment="1">
      <alignment/>
    </xf>
    <xf numFmtId="0" fontId="59" fillId="0" borderId="35" xfId="0" applyFont="1" applyBorder="1" applyAlignment="1">
      <alignment/>
    </xf>
    <xf numFmtId="0" fontId="0" fillId="0" borderId="30" xfId="0" applyFill="1" applyBorder="1" applyAlignment="1">
      <alignment/>
    </xf>
    <xf numFmtId="1" fontId="0" fillId="9" borderId="32" xfId="0" applyNumberFormat="1" applyFill="1" applyBorder="1" applyAlignment="1">
      <alignment/>
    </xf>
    <xf numFmtId="166" fontId="0" fillId="9" borderId="11" xfId="0" applyNumberFormat="1" applyFill="1" applyBorder="1" applyAlignment="1">
      <alignment/>
    </xf>
    <xf numFmtId="166" fontId="0" fillId="9" borderId="18" xfId="0" applyNumberFormat="1" applyFill="1" applyBorder="1" applyAlignment="1">
      <alignment/>
    </xf>
    <xf numFmtId="0" fontId="64" fillId="33" borderId="0" xfId="0" applyFont="1" applyFill="1" applyAlignment="1">
      <alignment horizontal="left"/>
    </xf>
    <xf numFmtId="0" fontId="0" fillId="33" borderId="0" xfId="0" applyFill="1" applyAlignment="1">
      <alignment horizontal="left" vertical="top" wrapText="1"/>
    </xf>
    <xf numFmtId="2" fontId="0" fillId="13" borderId="11" xfId="0" applyNumberFormat="1" applyFill="1" applyBorder="1" applyAlignment="1">
      <alignment/>
    </xf>
    <xf numFmtId="0" fontId="0" fillId="13" borderId="35" xfId="0" applyFill="1" applyBorder="1" applyAlignment="1">
      <alignment/>
    </xf>
    <xf numFmtId="0" fontId="0" fillId="36" borderId="35" xfId="0" applyFill="1" applyBorder="1" applyAlignment="1">
      <alignment horizontal="center"/>
    </xf>
    <xf numFmtId="0" fontId="0" fillId="36" borderId="43" xfId="0" applyFill="1" applyBorder="1" applyAlignment="1">
      <alignment horizontal="center"/>
    </xf>
    <xf numFmtId="0" fontId="0" fillId="13" borderId="35" xfId="0" applyFont="1" applyFill="1" applyBorder="1" applyAlignment="1">
      <alignment/>
    </xf>
    <xf numFmtId="0" fontId="0" fillId="13" borderId="27" xfId="0" applyFont="1" applyFill="1" applyBorder="1" applyAlignment="1">
      <alignment/>
    </xf>
    <xf numFmtId="1" fontId="0" fillId="13" borderId="35" xfId="0" applyNumberFormat="1" applyFont="1" applyFill="1" applyBorder="1" applyAlignment="1">
      <alignment/>
    </xf>
    <xf numFmtId="0" fontId="0" fillId="13" borderId="11" xfId="0" applyFill="1" applyBorder="1" applyAlignment="1">
      <alignment horizontal="right"/>
    </xf>
    <xf numFmtId="0" fontId="0" fillId="13" borderId="11" xfId="0" applyFont="1" applyFill="1" applyBorder="1" applyAlignment="1">
      <alignment horizontal="right"/>
    </xf>
    <xf numFmtId="0" fontId="0" fillId="13" borderId="10" xfId="0" applyFont="1" applyFill="1" applyBorder="1" applyAlignment="1">
      <alignment horizontal="right"/>
    </xf>
    <xf numFmtId="0" fontId="0" fillId="13" borderId="18" xfId="0" applyFont="1" applyFill="1" applyBorder="1" applyAlignment="1">
      <alignment horizontal="right"/>
    </xf>
    <xf numFmtId="0" fontId="0" fillId="13" borderId="37" xfId="0" applyFill="1" applyBorder="1" applyAlignment="1">
      <alignment horizontal="right"/>
    </xf>
    <xf numFmtId="0" fontId="0" fillId="13" borderId="18" xfId="0" applyFill="1" applyBorder="1" applyAlignment="1">
      <alignment horizontal="right"/>
    </xf>
    <xf numFmtId="2" fontId="0" fillId="13" borderId="11" xfId="0" applyNumberFormat="1" applyFill="1" applyBorder="1" applyAlignment="1">
      <alignment horizontal="right"/>
    </xf>
    <xf numFmtId="0" fontId="0" fillId="8" borderId="32" xfId="0" applyFill="1" applyBorder="1" applyAlignment="1" applyProtection="1">
      <alignment/>
      <protection locked="0"/>
    </xf>
    <xf numFmtId="0" fontId="0" fillId="8" borderId="30" xfId="0" applyFill="1" applyBorder="1" applyAlignment="1" applyProtection="1">
      <alignment/>
      <protection locked="0"/>
    </xf>
    <xf numFmtId="0" fontId="0" fillId="8" borderId="34" xfId="0" applyFill="1" applyBorder="1" applyAlignment="1" applyProtection="1">
      <alignment/>
      <protection locked="0"/>
    </xf>
    <xf numFmtId="0" fontId="0" fillId="8" borderId="58" xfId="0" applyFill="1" applyBorder="1" applyAlignment="1" applyProtection="1">
      <alignment/>
      <protection locked="0"/>
    </xf>
    <xf numFmtId="0" fontId="0" fillId="8" borderId="43" xfId="0" applyFill="1" applyBorder="1" applyAlignment="1" applyProtection="1">
      <alignment/>
      <protection locked="0"/>
    </xf>
    <xf numFmtId="0" fontId="0" fillId="35" borderId="11" xfId="0" applyFill="1" applyBorder="1" applyAlignment="1" applyProtection="1">
      <alignment horizontal="center"/>
      <protection locked="0"/>
    </xf>
    <xf numFmtId="0" fontId="0" fillId="35" borderId="11" xfId="0" applyFill="1" applyBorder="1" applyAlignment="1" applyProtection="1">
      <alignment horizontal="center" vertical="top" wrapText="1"/>
      <protection locked="0"/>
    </xf>
    <xf numFmtId="0" fontId="0" fillId="8" borderId="13" xfId="0" applyFill="1" applyBorder="1" applyAlignment="1" applyProtection="1">
      <alignment/>
      <protection locked="0"/>
    </xf>
    <xf numFmtId="0" fontId="0" fillId="8" borderId="14" xfId="0" applyFill="1" applyBorder="1" applyAlignment="1" applyProtection="1">
      <alignment/>
      <protection locked="0"/>
    </xf>
    <xf numFmtId="0" fontId="0" fillId="33" borderId="0" xfId="0" applyFill="1" applyAlignment="1">
      <alignment horizontal="left" vertical="top" wrapText="1"/>
    </xf>
    <xf numFmtId="0" fontId="60" fillId="33" borderId="0" xfId="0" applyFont="1" applyFill="1" applyAlignment="1">
      <alignment horizontal="left"/>
    </xf>
    <xf numFmtId="0" fontId="64" fillId="33" borderId="0" xfId="0" applyFont="1" applyFill="1" applyAlignment="1">
      <alignment horizontal="left"/>
    </xf>
    <xf numFmtId="0" fontId="57" fillId="33" borderId="0" xfId="0" applyFont="1" applyFill="1" applyAlignment="1">
      <alignment horizontal="left"/>
    </xf>
    <xf numFmtId="0" fontId="55" fillId="33" borderId="0" xfId="0" applyFont="1" applyFill="1" applyAlignment="1">
      <alignment horizontal="left"/>
    </xf>
    <xf numFmtId="0" fontId="55" fillId="33" borderId="0" xfId="0" applyFont="1" applyFill="1" applyAlignment="1">
      <alignment horizontal="left" vertical="top" wrapText="1"/>
    </xf>
    <xf numFmtId="0" fontId="0" fillId="33" borderId="0" xfId="0" applyFill="1" applyBorder="1" applyAlignment="1">
      <alignment horizontal="left" vertical="top" wrapText="1"/>
    </xf>
    <xf numFmtId="0" fontId="55" fillId="33" borderId="0" xfId="0" applyFont="1" applyFill="1" applyAlignment="1">
      <alignment horizontal="left" vertical="top"/>
    </xf>
    <xf numFmtId="0" fontId="0" fillId="33" borderId="0" xfId="0" applyFont="1" applyFill="1" applyAlignment="1">
      <alignment horizontal="left" vertical="top" wrapText="1"/>
    </xf>
    <xf numFmtId="0" fontId="0" fillId="9" borderId="26" xfId="0" applyFill="1" applyBorder="1" applyAlignment="1">
      <alignment horizontal="left"/>
    </xf>
    <xf numFmtId="0" fontId="0" fillId="9" borderId="59" xfId="0" applyFill="1" applyBorder="1" applyAlignment="1">
      <alignment horizontal="left"/>
    </xf>
    <xf numFmtId="0" fontId="0" fillId="33" borderId="0" xfId="0" applyFill="1" applyAlignment="1">
      <alignment horizontal="left"/>
    </xf>
    <xf numFmtId="0" fontId="0" fillId="33" borderId="52" xfId="0" applyFill="1" applyBorder="1" applyAlignment="1">
      <alignment horizontal="left"/>
    </xf>
    <xf numFmtId="0" fontId="0" fillId="33" borderId="0" xfId="0" applyFill="1" applyAlignment="1">
      <alignment horizontal="left" wrapText="1"/>
    </xf>
    <xf numFmtId="0" fontId="0" fillId="13" borderId="26" xfId="0" applyFill="1" applyBorder="1" applyAlignment="1">
      <alignment horizontal="left"/>
    </xf>
    <xf numFmtId="0" fontId="0" fillId="13" borderId="59" xfId="0" applyFill="1" applyBorder="1" applyAlignment="1">
      <alignment horizontal="left"/>
    </xf>
    <xf numFmtId="0" fontId="0" fillId="33" borderId="0" xfId="0" applyFont="1" applyFill="1" applyAlignment="1">
      <alignment horizontal="left" wrapText="1"/>
    </xf>
    <xf numFmtId="0" fontId="0" fillId="33" borderId="0" xfId="0" applyFill="1" applyAlignment="1">
      <alignment horizontal="left" vertical="top"/>
    </xf>
    <xf numFmtId="0" fontId="0" fillId="0" borderId="11" xfId="0" applyBorder="1" applyAlignment="1">
      <alignment horizontal="left"/>
    </xf>
    <xf numFmtId="0" fontId="0" fillId="11" borderId="11" xfId="0" applyFill="1" applyBorder="1" applyAlignment="1">
      <alignment horizontal="left"/>
    </xf>
    <xf numFmtId="0" fontId="0" fillId="8" borderId="11" xfId="0" applyFill="1" applyBorder="1" applyAlignment="1">
      <alignment horizontal="left"/>
    </xf>
    <xf numFmtId="0" fontId="55" fillId="0" borderId="20" xfId="0" applyFont="1" applyBorder="1" applyAlignment="1">
      <alignment horizontal="left"/>
    </xf>
    <xf numFmtId="0" fontId="55" fillId="0" borderId="24" xfId="0" applyFont="1" applyBorder="1" applyAlignment="1">
      <alignment horizontal="left"/>
    </xf>
    <xf numFmtId="0" fontId="55" fillId="0" borderId="12" xfId="0" applyFont="1" applyBorder="1" applyAlignment="1">
      <alignment horizontal="left"/>
    </xf>
    <xf numFmtId="0" fontId="0" fillId="8" borderId="18" xfId="0" applyFill="1" applyBorder="1" applyAlignment="1" applyProtection="1">
      <alignment horizontal="left"/>
      <protection locked="0"/>
    </xf>
    <xf numFmtId="0" fontId="0" fillId="8" borderId="32" xfId="0" applyFill="1" applyBorder="1" applyAlignment="1" applyProtection="1">
      <alignment horizontal="left"/>
      <protection locked="0"/>
    </xf>
    <xf numFmtId="0" fontId="0" fillId="8" borderId="11" xfId="0" applyFill="1" applyBorder="1" applyAlignment="1" applyProtection="1">
      <alignment horizontal="left"/>
      <protection locked="0"/>
    </xf>
    <xf numFmtId="0" fontId="0" fillId="8" borderId="30" xfId="0" applyFill="1" applyBorder="1" applyAlignment="1" applyProtection="1">
      <alignment horizontal="left"/>
      <protection locked="0"/>
    </xf>
    <xf numFmtId="0" fontId="0" fillId="8" borderId="26" xfId="0" applyFill="1" applyBorder="1" applyAlignment="1" applyProtection="1">
      <alignment horizontal="left"/>
      <protection locked="0"/>
    </xf>
    <xf numFmtId="0" fontId="0" fillId="8" borderId="60" xfId="0" applyFill="1" applyBorder="1" applyAlignment="1" applyProtection="1">
      <alignment horizontal="left"/>
      <protection locked="0"/>
    </xf>
    <xf numFmtId="0" fontId="55" fillId="0" borderId="28" xfId="0" applyFont="1" applyBorder="1" applyAlignment="1">
      <alignment horizontal="left"/>
    </xf>
    <xf numFmtId="0" fontId="55" fillId="0" borderId="61" xfId="0" applyFont="1" applyBorder="1" applyAlignment="1">
      <alignment horizontal="left"/>
    </xf>
    <xf numFmtId="0" fontId="57" fillId="33" borderId="0" xfId="0" applyFont="1" applyFill="1" applyAlignment="1">
      <alignment horizontal="right"/>
    </xf>
    <xf numFmtId="0" fontId="0" fillId="9" borderId="33" xfId="0" applyFill="1" applyBorder="1" applyAlignment="1">
      <alignment horizontal="left" vertical="top"/>
    </xf>
    <xf numFmtId="0" fontId="0" fillId="9" borderId="62" xfId="0" applyFill="1" applyBorder="1" applyAlignment="1">
      <alignment horizontal="left" vertical="top"/>
    </xf>
    <xf numFmtId="0" fontId="55" fillId="0" borderId="15" xfId="0" applyFont="1" applyBorder="1" applyAlignment="1">
      <alignment horizontal="left"/>
    </xf>
    <xf numFmtId="0" fontId="55" fillId="0" borderId="17" xfId="0" applyFont="1" applyBorder="1" applyAlignment="1">
      <alignment horizontal="left"/>
    </xf>
    <xf numFmtId="0" fontId="0" fillId="33" borderId="0" xfId="0" applyFont="1" applyFill="1" applyAlignment="1">
      <alignment horizontal="left" vertical="top"/>
    </xf>
    <xf numFmtId="0" fontId="67" fillId="33" borderId="0" xfId="0" applyFont="1" applyFill="1" applyAlignment="1">
      <alignment horizontal="left"/>
    </xf>
    <xf numFmtId="0" fontId="68" fillId="33" borderId="20" xfId="0" applyFont="1" applyFill="1" applyBorder="1" applyAlignment="1">
      <alignment horizontal="left"/>
    </xf>
    <xf numFmtId="0" fontId="68" fillId="33" borderId="24" xfId="0" applyFont="1" applyFill="1" applyBorder="1" applyAlignment="1">
      <alignment horizontal="left"/>
    </xf>
    <xf numFmtId="0" fontId="69" fillId="33" borderId="0" xfId="0" applyFont="1" applyFill="1" applyAlignment="1">
      <alignment horizontal="left" vertical="top" wrapText="1"/>
    </xf>
    <xf numFmtId="0" fontId="65" fillId="33" borderId="13" xfId="0" applyFont="1" applyFill="1" applyBorder="1" applyAlignment="1">
      <alignment horizontal="left" vertical="top" wrapText="1"/>
    </xf>
    <xf numFmtId="0" fontId="65" fillId="33" borderId="0" xfId="0" applyFont="1" applyFill="1" applyBorder="1" applyAlignment="1">
      <alignment horizontal="left" vertical="top" wrapText="1"/>
    </xf>
    <xf numFmtId="0" fontId="65" fillId="33" borderId="25" xfId="0" applyFont="1" applyFill="1" applyBorder="1" applyAlignment="1">
      <alignment horizontal="left" vertical="top" wrapText="1"/>
    </xf>
    <xf numFmtId="0" fontId="65" fillId="33" borderId="14" xfId="0" applyFont="1" applyFill="1" applyBorder="1" applyAlignment="1">
      <alignment horizontal="left" vertical="top" wrapText="1"/>
    </xf>
    <xf numFmtId="0" fontId="65" fillId="33" borderId="57" xfId="0" applyFont="1" applyFill="1" applyBorder="1" applyAlignment="1">
      <alignment horizontal="left" vertical="top" wrapText="1"/>
    </xf>
    <xf numFmtId="0" fontId="65" fillId="33" borderId="63" xfId="0" applyFont="1" applyFill="1" applyBorder="1" applyAlignment="1">
      <alignment horizontal="left" vertical="top" wrapText="1"/>
    </xf>
    <xf numFmtId="0" fontId="0" fillId="0" borderId="11" xfId="0" applyBorder="1" applyAlignment="1">
      <alignment horizontal="center"/>
    </xf>
    <xf numFmtId="0" fontId="0" fillId="0" borderId="30" xfId="0" applyBorder="1" applyAlignment="1">
      <alignment horizontal="center"/>
    </xf>
    <xf numFmtId="0" fontId="0" fillId="0" borderId="64"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0" fontId="55" fillId="0" borderId="65" xfId="0" applyFont="1" applyBorder="1" applyAlignment="1">
      <alignment horizontal="center" vertical="center"/>
    </xf>
    <xf numFmtId="0" fontId="55" fillId="0" borderId="66" xfId="0" applyFont="1" applyBorder="1" applyAlignment="1">
      <alignment horizontal="center" vertical="center"/>
    </xf>
    <xf numFmtId="0" fontId="55" fillId="33" borderId="20" xfId="0" applyFont="1" applyFill="1" applyBorder="1" applyAlignment="1">
      <alignment horizontal="left"/>
    </xf>
    <xf numFmtId="0" fontId="55" fillId="33" borderId="24" xfId="0" applyFont="1" applyFill="1" applyBorder="1" applyAlignment="1">
      <alignment horizontal="left"/>
    </xf>
    <xf numFmtId="0" fontId="55" fillId="33" borderId="12" xfId="0" applyFont="1" applyFill="1" applyBorder="1" applyAlignment="1">
      <alignment horizontal="left"/>
    </xf>
    <xf numFmtId="0" fontId="55" fillId="0" borderId="20" xfId="0" applyFont="1" applyFill="1" applyBorder="1" applyAlignment="1">
      <alignment horizontal="left"/>
    </xf>
    <xf numFmtId="0" fontId="55" fillId="0" borderId="24" xfId="0" applyFont="1" applyFill="1" applyBorder="1" applyAlignment="1">
      <alignment horizontal="left"/>
    </xf>
    <xf numFmtId="0" fontId="55" fillId="0" borderId="12" xfId="0" applyFont="1" applyFill="1" applyBorder="1" applyAlignment="1">
      <alignment horizontal="left"/>
    </xf>
    <xf numFmtId="0" fontId="0" fillId="0" borderId="64"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center"/>
    </xf>
    <xf numFmtId="0" fontId="0" fillId="0" borderId="60" xfId="0" applyBorder="1" applyAlignment="1">
      <alignment horizontal="center"/>
    </xf>
    <xf numFmtId="0" fontId="0" fillId="0" borderId="59" xfId="0" applyBorder="1" applyAlignment="1">
      <alignment horizontal="center"/>
    </xf>
    <xf numFmtId="0" fontId="55" fillId="5" borderId="20" xfId="0" applyFont="1" applyFill="1" applyBorder="1" applyAlignment="1">
      <alignment horizontal="center" vertical="center"/>
    </xf>
    <xf numFmtId="0" fontId="55" fillId="5" borderId="68" xfId="0" applyFont="1" applyFill="1" applyBorder="1" applyAlignment="1">
      <alignment horizontal="center" vertical="center"/>
    </xf>
    <xf numFmtId="0" fontId="0" fillId="5" borderId="11" xfId="0" applyFill="1" applyBorder="1" applyAlignment="1">
      <alignment horizontal="center"/>
    </xf>
    <xf numFmtId="0" fontId="0" fillId="5" borderId="30" xfId="0" applyFill="1" applyBorder="1" applyAlignment="1">
      <alignment horizontal="center"/>
    </xf>
    <xf numFmtId="0" fontId="0" fillId="5" borderId="64" xfId="0" applyFill="1" applyBorder="1" applyAlignment="1">
      <alignment horizontal="center" vertical="center"/>
    </xf>
    <xf numFmtId="0" fontId="0" fillId="5" borderId="24" xfId="0" applyFill="1" applyBorder="1" applyAlignment="1">
      <alignment horizontal="center" vertical="center"/>
    </xf>
    <xf numFmtId="0" fontId="0" fillId="5" borderId="12" xfId="0" applyFill="1" applyBorder="1" applyAlignment="1">
      <alignment horizontal="center" vertical="center"/>
    </xf>
    <xf numFmtId="0" fontId="0" fillId="5" borderId="64" xfId="0" applyFill="1" applyBorder="1" applyAlignment="1">
      <alignment horizontal="center"/>
    </xf>
    <xf numFmtId="0" fontId="0" fillId="5" borderId="24" xfId="0" applyFill="1" applyBorder="1" applyAlignment="1">
      <alignment horizontal="center"/>
    </xf>
    <xf numFmtId="0" fontId="0" fillId="5" borderId="12" xfId="0" applyFill="1" applyBorder="1" applyAlignment="1">
      <alignment horizont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30" xfId="0" applyBorder="1" applyAlignment="1">
      <alignment horizontal="center" vertical="center" wrapText="1"/>
    </xf>
    <xf numFmtId="0" fontId="0" fillId="0" borderId="26" xfId="0" applyBorder="1" applyAlignment="1">
      <alignment horizontal="center" wrapText="1"/>
    </xf>
    <xf numFmtId="0" fontId="60" fillId="0" borderId="0" xfId="0" applyFont="1" applyAlignment="1">
      <alignment horizontal="left"/>
    </xf>
    <xf numFmtId="0" fontId="64" fillId="0" borderId="0" xfId="0" applyFont="1" applyAlignment="1">
      <alignment horizontal="left"/>
    </xf>
    <xf numFmtId="0" fontId="0" fillId="5" borderId="17" xfId="0" applyFill="1" applyBorder="1" applyAlignment="1">
      <alignment horizontal="center" vertical="center" wrapText="1"/>
    </xf>
    <xf numFmtId="0" fontId="0" fillId="5" borderId="30" xfId="0" applyFill="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5" borderId="69" xfId="0" applyFill="1" applyBorder="1" applyAlignment="1">
      <alignment horizontal="center"/>
    </xf>
    <xf numFmtId="0" fontId="0" fillId="5" borderId="70" xfId="0" applyFill="1" applyBorder="1" applyAlignment="1">
      <alignment horizontal="center"/>
    </xf>
    <xf numFmtId="0" fontId="0" fillId="5" borderId="69" xfId="0" applyFill="1" applyBorder="1" applyAlignment="1">
      <alignment horizontal="center" vertical="center"/>
    </xf>
    <xf numFmtId="0" fontId="0" fillId="5" borderId="70" xfId="0" applyFill="1" applyBorder="1" applyAlignment="1">
      <alignment horizontal="center" vertical="center"/>
    </xf>
    <xf numFmtId="0" fontId="0" fillId="0" borderId="0" xfId="0" applyAlignment="1">
      <alignment horizontal="left"/>
    </xf>
    <xf numFmtId="0" fontId="0" fillId="0" borderId="25" xfId="0" applyBorder="1" applyAlignment="1">
      <alignment horizontal="left"/>
    </xf>
    <xf numFmtId="0" fontId="55" fillId="0" borderId="20" xfId="0" applyFont="1" applyBorder="1" applyAlignment="1">
      <alignment horizontal="center"/>
    </xf>
    <xf numFmtId="0" fontId="55" fillId="0" borderId="24" xfId="0" applyFont="1" applyBorder="1" applyAlignment="1">
      <alignment horizontal="center"/>
    </xf>
    <xf numFmtId="0" fontId="55" fillId="0" borderId="12" xfId="0" applyFont="1" applyBorder="1" applyAlignment="1">
      <alignment horizontal="center"/>
    </xf>
    <xf numFmtId="0" fontId="0" fillId="9" borderId="54" xfId="0" applyFill="1" applyBorder="1" applyAlignment="1">
      <alignment horizontal="center" wrapText="1"/>
    </xf>
    <xf numFmtId="0" fontId="0" fillId="0" borderId="1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1" xfId="0" applyBorder="1" applyAlignment="1">
      <alignment horizontal="center"/>
    </xf>
    <xf numFmtId="0" fontId="0" fillId="13" borderId="54" xfId="0" applyFill="1" applyBorder="1" applyAlignment="1">
      <alignment horizontal="center" wrapText="1"/>
    </xf>
    <xf numFmtId="0" fontId="0" fillId="0" borderId="38" xfId="0" applyBorder="1" applyAlignment="1">
      <alignment horizontal="left"/>
    </xf>
    <xf numFmtId="0" fontId="0" fillId="0" borderId="33" xfId="0" applyBorder="1" applyAlignment="1">
      <alignment horizontal="left"/>
    </xf>
    <xf numFmtId="0" fontId="0" fillId="0" borderId="0" xfId="0" applyBorder="1" applyAlignment="1">
      <alignment horizontal="left"/>
    </xf>
    <xf numFmtId="0" fontId="57" fillId="0" borderId="23" xfId="0" applyFont="1" applyBorder="1" applyAlignment="1">
      <alignment horizontal="center"/>
    </xf>
    <xf numFmtId="0" fontId="57" fillId="0" borderId="34" xfId="0" applyFont="1" applyBorder="1" applyAlignment="1">
      <alignment horizontal="center"/>
    </xf>
    <xf numFmtId="0" fontId="0" fillId="0" borderId="28" xfId="0" applyBorder="1" applyAlignment="1">
      <alignment horizontal="center" wrapText="1"/>
    </xf>
    <xf numFmtId="0" fontId="0" fillId="0" borderId="21" xfId="0" applyBorder="1" applyAlignment="1">
      <alignment horizontal="center" wrapText="1"/>
    </xf>
    <xf numFmtId="0" fontId="55" fillId="0" borderId="38" xfId="0" applyFont="1" applyBorder="1" applyAlignment="1">
      <alignment horizontal="center"/>
    </xf>
    <xf numFmtId="0" fontId="55" fillId="0" borderId="33" xfId="0" applyFont="1" applyBorder="1" applyAlignment="1">
      <alignment horizontal="center"/>
    </xf>
    <xf numFmtId="0" fontId="55" fillId="0" borderId="62" xfId="0" applyFont="1" applyBorder="1" applyAlignment="1">
      <alignment horizontal="center"/>
    </xf>
    <xf numFmtId="0" fontId="0" fillId="0" borderId="49" xfId="0" applyBorder="1" applyAlignment="1">
      <alignment horizontal="right"/>
    </xf>
    <xf numFmtId="0" fontId="0" fillId="0" borderId="72" xfId="0" applyBorder="1" applyAlignment="1">
      <alignment horizontal="right"/>
    </xf>
    <xf numFmtId="0" fontId="55" fillId="0" borderId="28" xfId="0" applyFont="1" applyBorder="1" applyAlignment="1">
      <alignment horizontal="center"/>
    </xf>
    <xf numFmtId="0" fontId="55" fillId="0" borderId="70" xfId="0" applyFont="1" applyBorder="1" applyAlignment="1">
      <alignment horizontal="center"/>
    </xf>
    <xf numFmtId="0" fontId="55" fillId="0" borderId="61" xfId="0" applyFont="1" applyBorder="1" applyAlignment="1">
      <alignment horizontal="center"/>
    </xf>
    <xf numFmtId="0" fontId="0" fillId="0" borderId="28" xfId="0" applyBorder="1" applyAlignment="1">
      <alignment horizontal="center" vertical="center" wrapText="1"/>
    </xf>
    <xf numFmtId="0" fontId="0" fillId="0" borderId="54" xfId="0" applyBorder="1" applyAlignment="1">
      <alignment horizontal="center" vertical="center" wrapText="1"/>
    </xf>
    <xf numFmtId="0" fontId="70" fillId="36" borderId="0" xfId="0" applyFont="1" applyFill="1" applyAlignment="1">
      <alignment horizontal="center" vertical="center"/>
    </xf>
    <xf numFmtId="0" fontId="70" fillId="36" borderId="57" xfId="0" applyFont="1" applyFill="1" applyBorder="1" applyAlignment="1">
      <alignment horizontal="center" vertical="center"/>
    </xf>
    <xf numFmtId="0" fontId="0" fillId="0" borderId="23" xfId="0" applyBorder="1" applyAlignment="1">
      <alignment horizontal="center"/>
    </xf>
    <xf numFmtId="0" fontId="6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Future and existing expenditure</a:t>
            </a:r>
          </a:p>
        </c:rich>
      </c:tx>
      <c:layout>
        <c:manualLayout>
          <c:xMode val="factor"/>
          <c:yMode val="factor"/>
          <c:x val="-0.002"/>
          <c:y val="-0.01075"/>
        </c:manualLayout>
      </c:layout>
      <c:spPr>
        <a:noFill/>
        <a:ln>
          <a:noFill/>
        </a:ln>
      </c:spPr>
    </c:title>
    <c:plotArea>
      <c:layout>
        <c:manualLayout>
          <c:xMode val="edge"/>
          <c:yMode val="edge"/>
          <c:x val="0.0655"/>
          <c:y val="0.11975"/>
          <c:w val="0.7165"/>
          <c:h val="0.888"/>
        </c:manualLayout>
      </c:layout>
      <c:barChart>
        <c:barDir val="col"/>
        <c:grouping val="clustered"/>
        <c:varyColors val="0"/>
        <c:ser>
          <c:idx val="0"/>
          <c:order val="0"/>
          <c:tx>
            <c:v>Capex (£)</c:v>
          </c:tx>
          <c:spPr>
            <a:solidFill>
              <a:srgbClr val="1F4E7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(Outputs!$E$10,Outputs!$G$9)</c:f>
              <c:strCache/>
            </c:strRef>
          </c:cat>
          <c:val>
            <c:numRef>
              <c:f>(Outputs!$D$11,Outputs!$G$10)</c:f>
              <c:numCache/>
            </c:numRef>
          </c:val>
        </c:ser>
        <c:ser>
          <c:idx val="1"/>
          <c:order val="1"/>
          <c:tx>
            <c:v>Opex (£/a)</c:v>
          </c:tx>
          <c:spPr>
            <a:solidFill>
              <a:srgbClr val="FFD966"/>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(Outputs!$E$10,Outputs!$G$9)</c:f>
              <c:strCache/>
            </c:strRef>
          </c:cat>
          <c:val>
            <c:numRef>
              <c:f>(Outputs!$D$12,Outputs!$G$11)</c:f>
              <c:numCache/>
            </c:numRef>
          </c:val>
        </c:ser>
        <c:ser>
          <c:idx val="2"/>
          <c:order val="2"/>
          <c:tx>
            <c:v>Income (£/a)</c:v>
          </c:tx>
          <c:spPr>
            <a:solidFill>
              <a:srgbClr val="548235"/>
            </a:solidFill>
            <a:ln w="12700">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(Outputs!$E$10,Outputs!$G$9)</c:f>
              <c:strCache/>
            </c:strRef>
          </c:cat>
          <c:val>
            <c:numRef>
              <c:f>(Outputs!$E$13,Outputs!$H$12)</c:f>
              <c:numCache/>
            </c:numRef>
          </c:val>
        </c:ser>
        <c:overlap val="-27"/>
        <c:gapWidth val="219"/>
        <c:axId val="52137483"/>
        <c:axId val="66584164"/>
      </c:barChart>
      <c:catAx>
        <c:axId val="521374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584164"/>
        <c:crosses val="autoZero"/>
        <c:auto val="1"/>
        <c:lblOffset val="100"/>
        <c:tickLblSkip val="1"/>
        <c:noMultiLvlLbl val="0"/>
      </c:catAx>
      <c:valAx>
        <c:axId val="6658416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Expenditure (£ and £/a)</a:t>
                </a:r>
              </a:p>
            </c:rich>
          </c:tx>
          <c:layout>
            <c:manualLayout>
              <c:xMode val="factor"/>
              <c:yMode val="factor"/>
              <c:x val="0"/>
              <c:y val="-0.001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2137483"/>
        <c:crossesAt val="1"/>
        <c:crossBetween val="between"/>
        <c:dispUnits/>
      </c:valAx>
      <c:spPr>
        <a:noFill/>
        <a:ln>
          <a:noFill/>
        </a:ln>
      </c:spPr>
    </c:plotArea>
    <c:legend>
      <c:legendPos val="r"/>
      <c:layout>
        <c:manualLayout>
          <c:xMode val="edge"/>
          <c:yMode val="edge"/>
          <c:x val="0.81325"/>
          <c:y val="0.43725"/>
          <c:w val="0.17625"/>
          <c:h val="0.240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9</xdr:row>
      <xdr:rowOff>9525</xdr:rowOff>
    </xdr:from>
    <xdr:to>
      <xdr:col>7</xdr:col>
      <xdr:colOff>371475</xdr:colOff>
      <xdr:row>19</xdr:row>
      <xdr:rowOff>171450</xdr:rowOff>
    </xdr:to>
    <xdr:pic>
      <xdr:nvPicPr>
        <xdr:cNvPr id="1" name="Picture 1"/>
        <xdr:cNvPicPr preferRelativeResize="1">
          <a:picLocks noChangeAspect="1"/>
        </xdr:cNvPicPr>
      </xdr:nvPicPr>
      <xdr:blipFill>
        <a:blip r:embed="rId1"/>
        <a:stretch>
          <a:fillRect/>
        </a:stretch>
      </xdr:blipFill>
      <xdr:spPr>
        <a:xfrm>
          <a:off x="1704975" y="1943100"/>
          <a:ext cx="2000250" cy="2066925"/>
        </a:xfrm>
        <a:prstGeom prst="rect">
          <a:avLst/>
        </a:prstGeom>
        <a:noFill/>
        <a:ln w="9525" cmpd="sng">
          <a:noFill/>
        </a:ln>
      </xdr:spPr>
    </xdr:pic>
    <xdr:clientData/>
  </xdr:twoCellAnchor>
  <xdr:twoCellAnchor editAs="oneCell">
    <xdr:from>
      <xdr:col>8</xdr:col>
      <xdr:colOff>361950</xdr:colOff>
      <xdr:row>11</xdr:row>
      <xdr:rowOff>28575</xdr:rowOff>
    </xdr:from>
    <xdr:to>
      <xdr:col>12</xdr:col>
      <xdr:colOff>552450</xdr:colOff>
      <xdr:row>17</xdr:row>
      <xdr:rowOff>66675</xdr:rowOff>
    </xdr:to>
    <xdr:pic>
      <xdr:nvPicPr>
        <xdr:cNvPr id="2" name="Picture 2"/>
        <xdr:cNvPicPr preferRelativeResize="1">
          <a:picLocks noChangeAspect="1"/>
        </xdr:cNvPicPr>
      </xdr:nvPicPr>
      <xdr:blipFill>
        <a:blip r:embed="rId2"/>
        <a:stretch>
          <a:fillRect/>
        </a:stretch>
      </xdr:blipFill>
      <xdr:spPr>
        <a:xfrm>
          <a:off x="4305300" y="2343150"/>
          <a:ext cx="2628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92</xdr:row>
      <xdr:rowOff>142875</xdr:rowOff>
    </xdr:from>
    <xdr:to>
      <xdr:col>12</xdr:col>
      <xdr:colOff>342900</xdr:colOff>
      <xdr:row>116</xdr:row>
      <xdr:rowOff>152400</xdr:rowOff>
    </xdr:to>
    <xdr:pic>
      <xdr:nvPicPr>
        <xdr:cNvPr id="1" name="Picture 7"/>
        <xdr:cNvPicPr preferRelativeResize="1">
          <a:picLocks noChangeAspect="1"/>
        </xdr:cNvPicPr>
      </xdr:nvPicPr>
      <xdr:blipFill>
        <a:blip r:embed="rId1"/>
        <a:stretch>
          <a:fillRect/>
        </a:stretch>
      </xdr:blipFill>
      <xdr:spPr>
        <a:xfrm>
          <a:off x="990600" y="17887950"/>
          <a:ext cx="5734050" cy="4581525"/>
        </a:xfrm>
        <a:prstGeom prst="rect">
          <a:avLst/>
        </a:prstGeom>
        <a:noFill/>
        <a:ln w="9525" cmpd="sng">
          <a:noFill/>
        </a:ln>
      </xdr:spPr>
    </xdr:pic>
    <xdr:clientData/>
  </xdr:twoCellAnchor>
  <xdr:twoCellAnchor editAs="oneCell">
    <xdr:from>
      <xdr:col>3</xdr:col>
      <xdr:colOff>95250</xdr:colOff>
      <xdr:row>11</xdr:row>
      <xdr:rowOff>47625</xdr:rowOff>
    </xdr:from>
    <xdr:to>
      <xdr:col>12</xdr:col>
      <xdr:colOff>342900</xdr:colOff>
      <xdr:row>26</xdr:row>
      <xdr:rowOff>161925</xdr:rowOff>
    </xdr:to>
    <xdr:pic>
      <xdr:nvPicPr>
        <xdr:cNvPr id="2" name="Picture 1"/>
        <xdr:cNvPicPr preferRelativeResize="1">
          <a:picLocks noChangeAspect="1"/>
        </xdr:cNvPicPr>
      </xdr:nvPicPr>
      <xdr:blipFill>
        <a:blip r:embed="rId2"/>
        <a:stretch>
          <a:fillRect/>
        </a:stretch>
      </xdr:blipFill>
      <xdr:spPr>
        <a:xfrm>
          <a:off x="990600" y="2362200"/>
          <a:ext cx="5734050" cy="2971800"/>
        </a:xfrm>
        <a:prstGeom prst="rect">
          <a:avLst/>
        </a:prstGeom>
        <a:noFill/>
        <a:ln w="9525" cmpd="sng">
          <a:noFill/>
        </a:ln>
      </xdr:spPr>
    </xdr:pic>
    <xdr:clientData/>
  </xdr:twoCellAnchor>
  <xdr:twoCellAnchor editAs="oneCell">
    <xdr:from>
      <xdr:col>3</xdr:col>
      <xdr:colOff>66675</xdr:colOff>
      <xdr:row>124</xdr:row>
      <xdr:rowOff>66675</xdr:rowOff>
    </xdr:from>
    <xdr:to>
      <xdr:col>12</xdr:col>
      <xdr:colOff>514350</xdr:colOff>
      <xdr:row>138</xdr:row>
      <xdr:rowOff>85725</xdr:rowOff>
    </xdr:to>
    <xdr:pic>
      <xdr:nvPicPr>
        <xdr:cNvPr id="3" name="Picture 12"/>
        <xdr:cNvPicPr preferRelativeResize="1">
          <a:picLocks noChangeAspect="1"/>
        </xdr:cNvPicPr>
      </xdr:nvPicPr>
      <xdr:blipFill>
        <a:blip r:embed="rId3"/>
        <a:stretch>
          <a:fillRect/>
        </a:stretch>
      </xdr:blipFill>
      <xdr:spPr>
        <a:xfrm>
          <a:off x="962025" y="23907750"/>
          <a:ext cx="5934075" cy="2686050"/>
        </a:xfrm>
        <a:prstGeom prst="rect">
          <a:avLst/>
        </a:prstGeom>
        <a:noFill/>
        <a:ln w="9525" cmpd="sng">
          <a:noFill/>
        </a:ln>
      </xdr:spPr>
    </xdr:pic>
    <xdr:clientData/>
  </xdr:twoCellAnchor>
  <xdr:twoCellAnchor editAs="oneCell">
    <xdr:from>
      <xdr:col>2</xdr:col>
      <xdr:colOff>19050</xdr:colOff>
      <xdr:row>39</xdr:row>
      <xdr:rowOff>57150</xdr:rowOff>
    </xdr:from>
    <xdr:to>
      <xdr:col>15</xdr:col>
      <xdr:colOff>114300</xdr:colOff>
      <xdr:row>86</xdr:row>
      <xdr:rowOff>9525</xdr:rowOff>
    </xdr:to>
    <xdr:pic>
      <xdr:nvPicPr>
        <xdr:cNvPr id="4" name="Picture 2"/>
        <xdr:cNvPicPr preferRelativeResize="1">
          <a:picLocks noChangeAspect="1"/>
        </xdr:cNvPicPr>
      </xdr:nvPicPr>
      <xdr:blipFill>
        <a:blip r:embed="rId4"/>
        <a:stretch>
          <a:fillRect/>
        </a:stretch>
      </xdr:blipFill>
      <xdr:spPr>
        <a:xfrm>
          <a:off x="819150" y="7705725"/>
          <a:ext cx="7572375" cy="890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15</xdr:row>
      <xdr:rowOff>57150</xdr:rowOff>
    </xdr:from>
    <xdr:to>
      <xdr:col>5</xdr:col>
      <xdr:colOff>1571625</xdr:colOff>
      <xdr:row>29</xdr:row>
      <xdr:rowOff>133350</xdr:rowOff>
    </xdr:to>
    <xdr:graphicFrame>
      <xdr:nvGraphicFramePr>
        <xdr:cNvPr id="1" name="Chart 1"/>
        <xdr:cNvGraphicFramePr/>
      </xdr:nvGraphicFramePr>
      <xdr:xfrm>
        <a:off x="3848100" y="31813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9</xdr:row>
      <xdr:rowOff>9525</xdr:rowOff>
    </xdr:from>
    <xdr:to>
      <xdr:col>11</xdr:col>
      <xdr:colOff>257175</xdr:colOff>
      <xdr:row>15</xdr:row>
      <xdr:rowOff>152400</xdr:rowOff>
    </xdr:to>
    <xdr:pic>
      <xdr:nvPicPr>
        <xdr:cNvPr id="1" name="Picture 1"/>
        <xdr:cNvPicPr preferRelativeResize="1">
          <a:picLocks noChangeAspect="1"/>
        </xdr:cNvPicPr>
      </xdr:nvPicPr>
      <xdr:blipFill>
        <a:blip r:embed="rId1"/>
        <a:stretch>
          <a:fillRect/>
        </a:stretch>
      </xdr:blipFill>
      <xdr:spPr>
        <a:xfrm>
          <a:off x="809625" y="2124075"/>
          <a:ext cx="5734050" cy="1285875"/>
        </a:xfrm>
        <a:prstGeom prst="rect">
          <a:avLst/>
        </a:prstGeom>
        <a:noFill/>
        <a:ln w="9525" cmpd="sng">
          <a:noFill/>
        </a:ln>
      </xdr:spPr>
    </xdr:pic>
    <xdr:clientData/>
  </xdr:twoCellAnchor>
  <xdr:twoCellAnchor editAs="oneCell">
    <xdr:from>
      <xdr:col>2</xdr:col>
      <xdr:colOff>0</xdr:colOff>
      <xdr:row>23</xdr:row>
      <xdr:rowOff>9525</xdr:rowOff>
    </xdr:from>
    <xdr:to>
      <xdr:col>11</xdr:col>
      <xdr:colOff>247650</xdr:colOff>
      <xdr:row>29</xdr:row>
      <xdr:rowOff>114300</xdr:rowOff>
    </xdr:to>
    <xdr:pic>
      <xdr:nvPicPr>
        <xdr:cNvPr id="2" name="Picture 2"/>
        <xdr:cNvPicPr preferRelativeResize="1">
          <a:picLocks noChangeAspect="1"/>
        </xdr:cNvPicPr>
      </xdr:nvPicPr>
      <xdr:blipFill>
        <a:blip r:embed="rId2"/>
        <a:stretch>
          <a:fillRect/>
        </a:stretch>
      </xdr:blipFill>
      <xdr:spPr>
        <a:xfrm>
          <a:off x="800100" y="4886325"/>
          <a:ext cx="5734050" cy="1247775"/>
        </a:xfrm>
        <a:prstGeom prst="rect">
          <a:avLst/>
        </a:prstGeom>
        <a:noFill/>
        <a:ln w="9525" cmpd="sng">
          <a:noFill/>
        </a:ln>
      </xdr:spPr>
    </xdr:pic>
    <xdr:clientData/>
  </xdr:twoCellAnchor>
  <xdr:twoCellAnchor editAs="oneCell">
    <xdr:from>
      <xdr:col>2</xdr:col>
      <xdr:colOff>0</xdr:colOff>
      <xdr:row>38</xdr:row>
      <xdr:rowOff>0</xdr:rowOff>
    </xdr:from>
    <xdr:to>
      <xdr:col>11</xdr:col>
      <xdr:colOff>247650</xdr:colOff>
      <xdr:row>44</xdr:row>
      <xdr:rowOff>104775</xdr:rowOff>
    </xdr:to>
    <xdr:pic>
      <xdr:nvPicPr>
        <xdr:cNvPr id="3" name="Picture 4"/>
        <xdr:cNvPicPr preferRelativeResize="1">
          <a:picLocks noChangeAspect="1"/>
        </xdr:cNvPicPr>
      </xdr:nvPicPr>
      <xdr:blipFill>
        <a:blip r:embed="rId3"/>
        <a:stretch>
          <a:fillRect/>
        </a:stretch>
      </xdr:blipFill>
      <xdr:spPr>
        <a:xfrm>
          <a:off x="800100" y="7829550"/>
          <a:ext cx="5734050" cy="1247775"/>
        </a:xfrm>
        <a:prstGeom prst="rect">
          <a:avLst/>
        </a:prstGeom>
        <a:noFill/>
        <a:ln w="9525" cmpd="sng">
          <a:noFill/>
        </a:ln>
      </xdr:spPr>
    </xdr:pic>
    <xdr:clientData/>
  </xdr:twoCellAnchor>
  <xdr:twoCellAnchor editAs="oneCell">
    <xdr:from>
      <xdr:col>2</xdr:col>
      <xdr:colOff>0</xdr:colOff>
      <xdr:row>53</xdr:row>
      <xdr:rowOff>0</xdr:rowOff>
    </xdr:from>
    <xdr:to>
      <xdr:col>11</xdr:col>
      <xdr:colOff>247650</xdr:colOff>
      <xdr:row>59</xdr:row>
      <xdr:rowOff>104775</xdr:rowOff>
    </xdr:to>
    <xdr:pic>
      <xdr:nvPicPr>
        <xdr:cNvPr id="4" name="Picture 5"/>
        <xdr:cNvPicPr preferRelativeResize="1">
          <a:picLocks noChangeAspect="1"/>
        </xdr:cNvPicPr>
      </xdr:nvPicPr>
      <xdr:blipFill>
        <a:blip r:embed="rId4"/>
        <a:stretch>
          <a:fillRect/>
        </a:stretch>
      </xdr:blipFill>
      <xdr:spPr>
        <a:xfrm>
          <a:off x="800100" y="10782300"/>
          <a:ext cx="5734050" cy="1247775"/>
        </a:xfrm>
        <a:prstGeom prst="rect">
          <a:avLst/>
        </a:prstGeom>
        <a:noFill/>
        <a:ln w="9525" cmpd="sng">
          <a:noFill/>
        </a:ln>
      </xdr:spPr>
    </xdr:pic>
    <xdr:clientData/>
  </xdr:twoCellAnchor>
  <xdr:twoCellAnchor editAs="oneCell">
    <xdr:from>
      <xdr:col>2</xdr:col>
      <xdr:colOff>0</xdr:colOff>
      <xdr:row>98</xdr:row>
      <xdr:rowOff>0</xdr:rowOff>
    </xdr:from>
    <xdr:to>
      <xdr:col>11</xdr:col>
      <xdr:colOff>247650</xdr:colOff>
      <xdr:row>104</xdr:row>
      <xdr:rowOff>104775</xdr:rowOff>
    </xdr:to>
    <xdr:pic>
      <xdr:nvPicPr>
        <xdr:cNvPr id="5" name="Picture 6"/>
        <xdr:cNvPicPr preferRelativeResize="1">
          <a:picLocks noChangeAspect="1"/>
        </xdr:cNvPicPr>
      </xdr:nvPicPr>
      <xdr:blipFill>
        <a:blip r:embed="rId5"/>
        <a:stretch>
          <a:fillRect/>
        </a:stretch>
      </xdr:blipFill>
      <xdr:spPr>
        <a:xfrm>
          <a:off x="800100" y="19640550"/>
          <a:ext cx="5734050" cy="1247775"/>
        </a:xfrm>
        <a:prstGeom prst="rect">
          <a:avLst/>
        </a:prstGeom>
        <a:noFill/>
        <a:ln w="9525" cmpd="sng">
          <a:noFill/>
        </a:ln>
      </xdr:spPr>
    </xdr:pic>
    <xdr:clientData/>
  </xdr:twoCellAnchor>
  <xdr:twoCellAnchor editAs="oneCell">
    <xdr:from>
      <xdr:col>2</xdr:col>
      <xdr:colOff>0</xdr:colOff>
      <xdr:row>105</xdr:row>
      <xdr:rowOff>0</xdr:rowOff>
    </xdr:from>
    <xdr:to>
      <xdr:col>11</xdr:col>
      <xdr:colOff>247650</xdr:colOff>
      <xdr:row>110</xdr:row>
      <xdr:rowOff>152400</xdr:rowOff>
    </xdr:to>
    <xdr:pic>
      <xdr:nvPicPr>
        <xdr:cNvPr id="6" name="Picture 8"/>
        <xdr:cNvPicPr preferRelativeResize="1">
          <a:picLocks noChangeAspect="1"/>
        </xdr:cNvPicPr>
      </xdr:nvPicPr>
      <xdr:blipFill>
        <a:blip r:embed="rId6"/>
        <a:stretch>
          <a:fillRect/>
        </a:stretch>
      </xdr:blipFill>
      <xdr:spPr>
        <a:xfrm>
          <a:off x="800100" y="20974050"/>
          <a:ext cx="5734050" cy="1104900"/>
        </a:xfrm>
        <a:prstGeom prst="rect">
          <a:avLst/>
        </a:prstGeom>
        <a:noFill/>
        <a:ln w="9525" cmpd="sng">
          <a:noFill/>
        </a:ln>
      </xdr:spPr>
    </xdr:pic>
    <xdr:clientData/>
  </xdr:twoCellAnchor>
  <xdr:twoCellAnchor editAs="oneCell">
    <xdr:from>
      <xdr:col>2</xdr:col>
      <xdr:colOff>190500</xdr:colOff>
      <xdr:row>82</xdr:row>
      <xdr:rowOff>133350</xdr:rowOff>
    </xdr:from>
    <xdr:to>
      <xdr:col>11</xdr:col>
      <xdr:colOff>438150</xdr:colOff>
      <xdr:row>89</xdr:row>
      <xdr:rowOff>47625</xdr:rowOff>
    </xdr:to>
    <xdr:pic>
      <xdr:nvPicPr>
        <xdr:cNvPr id="7" name="Picture 56"/>
        <xdr:cNvPicPr preferRelativeResize="1">
          <a:picLocks noChangeAspect="1"/>
        </xdr:cNvPicPr>
      </xdr:nvPicPr>
      <xdr:blipFill>
        <a:blip r:embed="rId7"/>
        <a:stretch>
          <a:fillRect/>
        </a:stretch>
      </xdr:blipFill>
      <xdr:spPr>
        <a:xfrm>
          <a:off x="990600" y="16630650"/>
          <a:ext cx="5734050" cy="1247775"/>
        </a:xfrm>
        <a:prstGeom prst="rect">
          <a:avLst/>
        </a:prstGeom>
        <a:noFill/>
        <a:ln w="9525" cmpd="sng">
          <a:noFill/>
        </a:ln>
      </xdr:spPr>
    </xdr:pic>
    <xdr:clientData/>
  </xdr:twoCellAnchor>
  <xdr:twoCellAnchor editAs="oneCell">
    <xdr:from>
      <xdr:col>2</xdr:col>
      <xdr:colOff>0</xdr:colOff>
      <xdr:row>68</xdr:row>
      <xdr:rowOff>0</xdr:rowOff>
    </xdr:from>
    <xdr:to>
      <xdr:col>11</xdr:col>
      <xdr:colOff>247650</xdr:colOff>
      <xdr:row>74</xdr:row>
      <xdr:rowOff>104775</xdr:rowOff>
    </xdr:to>
    <xdr:pic>
      <xdr:nvPicPr>
        <xdr:cNvPr id="8" name="Picture 3"/>
        <xdr:cNvPicPr preferRelativeResize="1">
          <a:picLocks noChangeAspect="1"/>
        </xdr:cNvPicPr>
      </xdr:nvPicPr>
      <xdr:blipFill>
        <a:blip r:embed="rId8"/>
        <a:stretch>
          <a:fillRect/>
        </a:stretch>
      </xdr:blipFill>
      <xdr:spPr>
        <a:xfrm>
          <a:off x="800100" y="13735050"/>
          <a:ext cx="5734050" cy="1247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104775</xdr:rowOff>
    </xdr:from>
    <xdr:to>
      <xdr:col>14</xdr:col>
      <xdr:colOff>819150</xdr:colOff>
      <xdr:row>8</xdr:row>
      <xdr:rowOff>104775</xdr:rowOff>
    </xdr:to>
    <xdr:sp>
      <xdr:nvSpPr>
        <xdr:cNvPr id="1" name="Straight Arrow Connector 26"/>
        <xdr:cNvSpPr>
          <a:spLocks/>
        </xdr:cNvSpPr>
      </xdr:nvSpPr>
      <xdr:spPr>
        <a:xfrm>
          <a:off x="10782300" y="2257425"/>
          <a:ext cx="809625" cy="0"/>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79</xdr:row>
      <xdr:rowOff>95250</xdr:rowOff>
    </xdr:from>
    <xdr:to>
      <xdr:col>12</xdr:col>
      <xdr:colOff>28575</xdr:colOff>
      <xdr:row>100</xdr:row>
      <xdr:rowOff>9525</xdr:rowOff>
    </xdr:to>
    <xdr:grpSp>
      <xdr:nvGrpSpPr>
        <xdr:cNvPr id="2" name="Group 6"/>
        <xdr:cNvGrpSpPr>
          <a:grpSpLocks/>
        </xdr:cNvGrpSpPr>
      </xdr:nvGrpSpPr>
      <xdr:grpSpPr>
        <a:xfrm>
          <a:off x="8772525" y="17364075"/>
          <a:ext cx="638175" cy="4772025"/>
          <a:chOff x="8583428" y="12182475"/>
          <a:chExt cx="636772" cy="4010025"/>
        </a:xfrm>
        <a:solidFill>
          <a:srgbClr val="FFFFFF"/>
        </a:solidFill>
      </xdr:grpSpPr>
      <xdr:sp>
        <xdr:nvSpPr>
          <xdr:cNvPr id="3" name="Straight Arrow Connector 14"/>
          <xdr:cNvSpPr>
            <a:spLocks/>
          </xdr:cNvSpPr>
        </xdr:nvSpPr>
        <xdr:spPr>
          <a:xfrm>
            <a:off x="9191704" y="12182475"/>
            <a:ext cx="0" cy="4010025"/>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Straight Arrow Connector 15"/>
          <xdr:cNvSpPr>
            <a:spLocks/>
          </xdr:cNvSpPr>
        </xdr:nvSpPr>
        <xdr:spPr>
          <a:xfrm>
            <a:off x="8583428" y="12201523"/>
            <a:ext cx="636772"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Arrow Connector 16"/>
          <xdr:cNvSpPr>
            <a:spLocks/>
          </xdr:cNvSpPr>
        </xdr:nvSpPr>
        <xdr:spPr>
          <a:xfrm>
            <a:off x="8583428" y="14125332"/>
            <a:ext cx="636772"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14</xdr:col>
      <xdr:colOff>9525</xdr:colOff>
      <xdr:row>27</xdr:row>
      <xdr:rowOff>95250</xdr:rowOff>
    </xdr:from>
    <xdr:to>
      <xdr:col>14</xdr:col>
      <xdr:colOff>819150</xdr:colOff>
      <xdr:row>27</xdr:row>
      <xdr:rowOff>95250</xdr:rowOff>
    </xdr:to>
    <xdr:sp>
      <xdr:nvSpPr>
        <xdr:cNvPr id="6" name="Straight Arrow Connector 20"/>
        <xdr:cNvSpPr>
          <a:spLocks/>
        </xdr:cNvSpPr>
      </xdr:nvSpPr>
      <xdr:spPr>
        <a:xfrm>
          <a:off x="10782300" y="5924550"/>
          <a:ext cx="809625" cy="0"/>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5</xdr:row>
      <xdr:rowOff>95250</xdr:rowOff>
    </xdr:from>
    <xdr:to>
      <xdr:col>12</xdr:col>
      <xdr:colOff>38100</xdr:colOff>
      <xdr:row>76</xdr:row>
      <xdr:rowOff>28575</xdr:rowOff>
    </xdr:to>
    <xdr:grpSp>
      <xdr:nvGrpSpPr>
        <xdr:cNvPr id="7" name="Group 25"/>
        <xdr:cNvGrpSpPr>
          <a:grpSpLocks/>
        </xdr:cNvGrpSpPr>
      </xdr:nvGrpSpPr>
      <xdr:grpSpPr>
        <a:xfrm>
          <a:off x="8772525" y="1276350"/>
          <a:ext cx="647700" cy="15440025"/>
          <a:chOff x="8773928" y="1276350"/>
          <a:chExt cx="646297" cy="13725525"/>
        </a:xfrm>
        <a:solidFill>
          <a:srgbClr val="FFFFFF"/>
        </a:solidFill>
      </xdr:grpSpPr>
      <xdr:sp>
        <xdr:nvSpPr>
          <xdr:cNvPr id="8" name="Straight Arrow Connector 2"/>
          <xdr:cNvSpPr>
            <a:spLocks/>
          </xdr:cNvSpPr>
        </xdr:nvSpPr>
        <xdr:spPr>
          <a:xfrm>
            <a:off x="9382255" y="1276350"/>
            <a:ext cx="0" cy="13725525"/>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Arrow Connector 4"/>
          <xdr:cNvSpPr>
            <a:spLocks/>
          </xdr:cNvSpPr>
        </xdr:nvSpPr>
        <xdr:spPr>
          <a:xfrm>
            <a:off x="8773928" y="1296938"/>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Straight Arrow Connector 9"/>
          <xdr:cNvSpPr>
            <a:spLocks/>
          </xdr:cNvSpPr>
        </xdr:nvSpPr>
        <xdr:spPr>
          <a:xfrm>
            <a:off x="8773928" y="3208218"/>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Straight Arrow Connector 10"/>
          <xdr:cNvSpPr>
            <a:spLocks/>
          </xdr:cNvSpPr>
        </xdr:nvSpPr>
        <xdr:spPr>
          <a:xfrm>
            <a:off x="8773928" y="5164105"/>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Arrow Connector 11"/>
          <xdr:cNvSpPr>
            <a:spLocks/>
          </xdr:cNvSpPr>
        </xdr:nvSpPr>
        <xdr:spPr>
          <a:xfrm>
            <a:off x="8783461" y="7106267"/>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Arrow Connector 12"/>
          <xdr:cNvSpPr>
            <a:spLocks/>
          </xdr:cNvSpPr>
        </xdr:nvSpPr>
        <xdr:spPr>
          <a:xfrm>
            <a:off x="8773928" y="9058723"/>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Arrow Connector 17"/>
          <xdr:cNvSpPr>
            <a:spLocks/>
          </xdr:cNvSpPr>
        </xdr:nvSpPr>
        <xdr:spPr>
          <a:xfrm>
            <a:off x="8783461" y="11000884"/>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Arrow Connector 18"/>
          <xdr:cNvSpPr>
            <a:spLocks/>
          </xdr:cNvSpPr>
        </xdr:nvSpPr>
        <xdr:spPr>
          <a:xfrm>
            <a:off x="8773928" y="12943046"/>
            <a:ext cx="636764"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47625</xdr:rowOff>
    </xdr:from>
    <xdr:to>
      <xdr:col>4</xdr:col>
      <xdr:colOff>314325</xdr:colOff>
      <xdr:row>15</xdr:row>
      <xdr:rowOff>190500</xdr:rowOff>
    </xdr:to>
    <xdr:grpSp>
      <xdr:nvGrpSpPr>
        <xdr:cNvPr id="1" name="Group 11"/>
        <xdr:cNvGrpSpPr>
          <a:grpSpLocks/>
        </xdr:cNvGrpSpPr>
      </xdr:nvGrpSpPr>
      <xdr:grpSpPr>
        <a:xfrm>
          <a:off x="6305550" y="2447925"/>
          <a:ext cx="314325" cy="923925"/>
          <a:chOff x="5915025" y="2019300"/>
          <a:chExt cx="314325" cy="742748"/>
        </a:xfrm>
        <a:solidFill>
          <a:srgbClr val="FFFFFF"/>
        </a:solidFill>
      </xdr:grpSpPr>
      <xdr:sp>
        <xdr:nvSpPr>
          <xdr:cNvPr id="2" name="Straight Arrow Connector 2"/>
          <xdr:cNvSpPr>
            <a:spLocks/>
          </xdr:cNvSpPr>
        </xdr:nvSpPr>
        <xdr:spPr>
          <a:xfrm flipH="1">
            <a:off x="5915025" y="2762048"/>
            <a:ext cx="314325" cy="0"/>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Straight Arrow Connector 3"/>
          <xdr:cNvSpPr>
            <a:spLocks/>
          </xdr:cNvSpPr>
        </xdr:nvSpPr>
        <xdr:spPr>
          <a:xfrm>
            <a:off x="6191238" y="2019300"/>
            <a:ext cx="0" cy="727522"/>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Straight Arrow Connector 4"/>
          <xdr:cNvSpPr>
            <a:spLocks/>
          </xdr:cNvSpPr>
        </xdr:nvSpPr>
        <xdr:spPr>
          <a:xfrm>
            <a:off x="5915025" y="2057552"/>
            <a:ext cx="247688"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0</xdr:colOff>
      <xdr:row>11</xdr:row>
      <xdr:rowOff>47625</xdr:rowOff>
    </xdr:from>
    <xdr:to>
      <xdr:col>7</xdr:col>
      <xdr:colOff>314325</xdr:colOff>
      <xdr:row>14</xdr:row>
      <xdr:rowOff>190500</xdr:rowOff>
    </xdr:to>
    <xdr:grpSp>
      <xdr:nvGrpSpPr>
        <xdr:cNvPr id="5" name="Group 12"/>
        <xdr:cNvGrpSpPr>
          <a:grpSpLocks/>
        </xdr:cNvGrpSpPr>
      </xdr:nvGrpSpPr>
      <xdr:grpSpPr>
        <a:xfrm>
          <a:off x="11572875" y="2447925"/>
          <a:ext cx="314325" cy="733425"/>
          <a:chOff x="5915025" y="2019300"/>
          <a:chExt cx="314325" cy="742748"/>
        </a:xfrm>
        <a:solidFill>
          <a:srgbClr val="FFFFFF"/>
        </a:solidFill>
      </xdr:grpSpPr>
      <xdr:sp>
        <xdr:nvSpPr>
          <xdr:cNvPr id="6" name="Straight Arrow Connector 13"/>
          <xdr:cNvSpPr>
            <a:spLocks/>
          </xdr:cNvSpPr>
        </xdr:nvSpPr>
        <xdr:spPr>
          <a:xfrm flipH="1">
            <a:off x="5915025" y="2762048"/>
            <a:ext cx="314325" cy="0"/>
          </a:xfrm>
          <a:prstGeom prst="straightConnector1">
            <a:avLst/>
          </a:prstGeom>
          <a:noFill/>
          <a:ln w="63500" cmpd="sng">
            <a:solidFill>
              <a:srgbClr val="A6A6A6"/>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Straight Arrow Connector 14"/>
          <xdr:cNvSpPr>
            <a:spLocks/>
          </xdr:cNvSpPr>
        </xdr:nvSpPr>
        <xdr:spPr>
          <a:xfrm>
            <a:off x="6191238" y="2019300"/>
            <a:ext cx="0" cy="723437"/>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Straight Arrow Connector 15"/>
          <xdr:cNvSpPr>
            <a:spLocks/>
          </xdr:cNvSpPr>
        </xdr:nvSpPr>
        <xdr:spPr>
          <a:xfrm>
            <a:off x="5915025" y="2057923"/>
            <a:ext cx="247688" cy="0"/>
          </a:xfrm>
          <a:prstGeom prst="straightConnector1">
            <a:avLst/>
          </a:prstGeom>
          <a:noFill/>
          <a:ln w="63500"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C2:O34"/>
  <sheetViews>
    <sheetView tabSelected="1" zoomScalePageLayoutView="0" workbookViewId="0" topLeftCell="A1">
      <selection activeCell="C3" sqref="C3:E3"/>
    </sheetView>
  </sheetViews>
  <sheetFormatPr defaultColWidth="9.140625" defaultRowHeight="15"/>
  <cols>
    <col min="1" max="1" width="9.140625" style="75" customWidth="1"/>
    <col min="2" max="2" width="2.8515625" style="75" customWidth="1"/>
    <col min="3" max="3" width="1.421875" style="75" customWidth="1"/>
    <col min="4" max="13" width="9.140625" style="75" customWidth="1"/>
    <col min="14" max="14" width="10.28125" style="75" customWidth="1"/>
    <col min="15" max="16384" width="9.140625" style="75" customWidth="1"/>
  </cols>
  <sheetData>
    <row r="2" spans="3:15" ht="26.25">
      <c r="C2" s="239" t="str">
        <f>Inputs!C2</f>
        <v>Resource Efficient Scotland - Hospital food waste disposal calculator </v>
      </c>
      <c r="D2" s="239"/>
      <c r="E2" s="239"/>
      <c r="F2" s="239"/>
      <c r="G2" s="239"/>
      <c r="H2" s="239"/>
      <c r="I2" s="239"/>
      <c r="J2" s="239"/>
      <c r="K2" s="239"/>
      <c r="L2" s="239"/>
      <c r="M2" s="239"/>
      <c r="N2" s="239"/>
      <c r="O2" s="239"/>
    </row>
    <row r="3" spans="3:14" ht="21">
      <c r="C3" s="240" t="s">
        <v>142</v>
      </c>
      <c r="D3" s="240"/>
      <c r="E3" s="240"/>
      <c r="K3" s="153" t="str">
        <f>Information!K3</f>
        <v>(Final)</v>
      </c>
      <c r="L3" s="87" t="str">
        <f>Information!L3</f>
        <v>v1</v>
      </c>
      <c r="M3" s="241" t="str">
        <f>Information!M3:N3</f>
        <v>27th November 2013</v>
      </c>
      <c r="N3" s="241"/>
    </row>
    <row r="5" spans="3:4" ht="15">
      <c r="C5" s="20"/>
      <c r="D5" s="88" t="s">
        <v>142</v>
      </c>
    </row>
    <row r="6" spans="3:14" ht="15">
      <c r="C6" s="20"/>
      <c r="D6" s="238" t="s">
        <v>336</v>
      </c>
      <c r="E6" s="238"/>
      <c r="F6" s="238"/>
      <c r="G6" s="238"/>
      <c r="H6" s="238"/>
      <c r="I6" s="238"/>
      <c r="J6" s="238"/>
      <c r="K6" s="238"/>
      <c r="L6" s="238"/>
      <c r="M6" s="238"/>
      <c r="N6" s="238"/>
    </row>
    <row r="7" spans="3:14" ht="15">
      <c r="C7" s="20"/>
      <c r="D7" s="238"/>
      <c r="E7" s="238"/>
      <c r="F7" s="238"/>
      <c r="G7" s="238"/>
      <c r="H7" s="238"/>
      <c r="I7" s="238"/>
      <c r="J7" s="238"/>
      <c r="K7" s="238"/>
      <c r="L7" s="238"/>
      <c r="M7" s="238"/>
      <c r="N7" s="238"/>
    </row>
    <row r="8" spans="3:14" ht="15">
      <c r="C8" s="20"/>
      <c r="D8" s="238"/>
      <c r="E8" s="238"/>
      <c r="F8" s="238"/>
      <c r="G8" s="238"/>
      <c r="H8" s="238"/>
      <c r="I8" s="238"/>
      <c r="J8" s="238"/>
      <c r="K8" s="238"/>
      <c r="L8" s="238"/>
      <c r="M8" s="238"/>
      <c r="N8" s="238"/>
    </row>
    <row r="9" spans="3:14" ht="15">
      <c r="C9" s="20"/>
      <c r="D9" s="238"/>
      <c r="E9" s="238"/>
      <c r="F9" s="238"/>
      <c r="G9" s="238"/>
      <c r="H9" s="238"/>
      <c r="I9" s="238"/>
      <c r="J9" s="238"/>
      <c r="K9" s="238"/>
      <c r="L9" s="238"/>
      <c r="M9" s="238"/>
      <c r="N9" s="238"/>
    </row>
    <row r="10" ht="15">
      <c r="C10" s="20"/>
    </row>
    <row r="11" ht="15" customHeight="1">
      <c r="C11" s="20"/>
    </row>
    <row r="12" ht="15">
      <c r="C12" s="20"/>
    </row>
    <row r="13" ht="15">
      <c r="C13" s="20"/>
    </row>
    <row r="14" ht="15">
      <c r="C14" s="20"/>
    </row>
    <row r="15" ht="15">
      <c r="C15" s="20"/>
    </row>
    <row r="16" ht="15">
      <c r="C16" s="20"/>
    </row>
    <row r="17" ht="15">
      <c r="C17" s="20"/>
    </row>
    <row r="18" ht="15">
      <c r="C18" s="20"/>
    </row>
    <row r="19" ht="15">
      <c r="C19" s="20"/>
    </row>
    <row r="20" ht="15">
      <c r="C20" s="20"/>
    </row>
    <row r="21" spans="3:4" ht="15">
      <c r="C21" s="20"/>
      <c r="D21" s="88" t="s">
        <v>298</v>
      </c>
    </row>
    <row r="22" spans="3:14" ht="15" customHeight="1">
      <c r="C22" s="20"/>
      <c r="D22" s="238" t="s">
        <v>365</v>
      </c>
      <c r="E22" s="238"/>
      <c r="F22" s="238"/>
      <c r="G22" s="238"/>
      <c r="H22" s="238"/>
      <c r="I22" s="238"/>
      <c r="J22" s="238"/>
      <c r="K22" s="238"/>
      <c r="L22" s="238"/>
      <c r="M22" s="238"/>
      <c r="N22" s="238"/>
    </row>
    <row r="23" spans="3:14" ht="15">
      <c r="C23" s="20"/>
      <c r="D23" s="238"/>
      <c r="E23" s="238"/>
      <c r="F23" s="238"/>
      <c r="G23" s="238"/>
      <c r="H23" s="238"/>
      <c r="I23" s="238"/>
      <c r="J23" s="238"/>
      <c r="K23" s="238"/>
      <c r="L23" s="238"/>
      <c r="M23" s="238"/>
      <c r="N23" s="238"/>
    </row>
    <row r="24" spans="3:14" ht="15">
      <c r="C24" s="20"/>
      <c r="D24" s="238"/>
      <c r="E24" s="238"/>
      <c r="F24" s="238"/>
      <c r="G24" s="238"/>
      <c r="H24" s="238"/>
      <c r="I24" s="238"/>
      <c r="J24" s="238"/>
      <c r="K24" s="238"/>
      <c r="L24" s="238"/>
      <c r="M24" s="238"/>
      <c r="N24" s="238"/>
    </row>
    <row r="25" spans="3:14" ht="15">
      <c r="C25" s="20"/>
      <c r="D25" s="238"/>
      <c r="E25" s="238"/>
      <c r="F25" s="238"/>
      <c r="G25" s="238"/>
      <c r="H25" s="238"/>
      <c r="I25" s="238"/>
      <c r="J25" s="238"/>
      <c r="K25" s="238"/>
      <c r="L25" s="238"/>
      <c r="M25" s="238"/>
      <c r="N25" s="238"/>
    </row>
    <row r="26" spans="3:14" ht="15">
      <c r="C26" s="20"/>
      <c r="D26" s="238"/>
      <c r="E26" s="238"/>
      <c r="F26" s="238"/>
      <c r="G26" s="238"/>
      <c r="H26" s="238"/>
      <c r="I26" s="238"/>
      <c r="J26" s="238"/>
      <c r="K26" s="238"/>
      <c r="L26" s="238"/>
      <c r="M26" s="238"/>
      <c r="N26" s="238"/>
    </row>
    <row r="27" spans="3:14" ht="15">
      <c r="C27" s="20"/>
      <c r="D27" s="238"/>
      <c r="E27" s="238"/>
      <c r="F27" s="238"/>
      <c r="G27" s="238"/>
      <c r="H27" s="238"/>
      <c r="I27" s="238"/>
      <c r="J27" s="238"/>
      <c r="K27" s="238"/>
      <c r="L27" s="238"/>
      <c r="M27" s="238"/>
      <c r="N27" s="238"/>
    </row>
    <row r="28" spans="3:14" ht="15">
      <c r="C28" s="20"/>
      <c r="D28" s="238"/>
      <c r="E28" s="238"/>
      <c r="F28" s="238"/>
      <c r="G28" s="238"/>
      <c r="H28" s="238"/>
      <c r="I28" s="238"/>
      <c r="J28" s="238"/>
      <c r="K28" s="238"/>
      <c r="L28" s="238"/>
      <c r="M28" s="238"/>
      <c r="N28" s="238"/>
    </row>
    <row r="29" spans="3:14" ht="21" customHeight="1">
      <c r="C29" s="20"/>
      <c r="D29" s="238"/>
      <c r="E29" s="238"/>
      <c r="F29" s="238"/>
      <c r="G29" s="238"/>
      <c r="H29" s="238"/>
      <c r="I29" s="238"/>
      <c r="J29" s="238"/>
      <c r="K29" s="238"/>
      <c r="L29" s="238"/>
      <c r="M29" s="238"/>
      <c r="N29" s="238"/>
    </row>
    <row r="30" spans="3:14" ht="15">
      <c r="C30" s="20"/>
      <c r="D30" s="238"/>
      <c r="E30" s="238"/>
      <c r="F30" s="238"/>
      <c r="G30" s="238"/>
      <c r="H30" s="238"/>
      <c r="I30" s="238"/>
      <c r="J30" s="238"/>
      <c r="K30" s="238"/>
      <c r="L30" s="238"/>
      <c r="M30" s="238"/>
      <c r="N30" s="238"/>
    </row>
    <row r="31" spans="3:14" ht="15">
      <c r="C31" s="20"/>
      <c r="D31" s="238"/>
      <c r="E31" s="238"/>
      <c r="F31" s="238"/>
      <c r="G31" s="238"/>
      <c r="H31" s="238"/>
      <c r="I31" s="238"/>
      <c r="J31" s="238"/>
      <c r="K31" s="238"/>
      <c r="L31" s="238"/>
      <c r="M31" s="238"/>
      <c r="N31" s="238"/>
    </row>
    <row r="32" spans="3:4" ht="15">
      <c r="C32" s="20"/>
      <c r="D32" s="75" t="s">
        <v>299</v>
      </c>
    </row>
    <row r="33" spans="3:4" ht="15">
      <c r="C33" s="20"/>
      <c r="D33" t="s">
        <v>300</v>
      </c>
    </row>
    <row r="34" ht="15">
      <c r="C34" s="20"/>
    </row>
  </sheetData>
  <sheetProtection sheet="1" objects="1" scenarios="1"/>
  <mergeCells count="5">
    <mergeCell ref="D22:N31"/>
    <mergeCell ref="D6:N9"/>
    <mergeCell ref="C2:O2"/>
    <mergeCell ref="C3:E3"/>
    <mergeCell ref="M3:N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tabColor theme="5" tint="0.5999900102615356"/>
  </sheetPr>
  <dimension ref="C2:N157"/>
  <sheetViews>
    <sheetView zoomScalePageLayoutView="0" workbookViewId="0" topLeftCell="A100">
      <selection activeCell="D130" sqref="D130:E130"/>
    </sheetView>
  </sheetViews>
  <sheetFormatPr defaultColWidth="9.140625" defaultRowHeight="15"/>
  <cols>
    <col min="1" max="1" width="9.140625" style="0" customWidth="1"/>
    <col min="2" max="2" width="2.8515625" style="0" customWidth="1"/>
    <col min="3" max="3" width="16.8515625" style="0" customWidth="1"/>
    <col min="4" max="5" width="12.00390625" style="0" customWidth="1"/>
    <col min="6" max="6" width="12.57421875" style="0" customWidth="1"/>
    <col min="7" max="7" width="13.00390625" style="0" customWidth="1"/>
    <col min="8" max="8" width="12.8515625" style="0" customWidth="1"/>
    <col min="9" max="9" width="15.00390625" style="0" customWidth="1"/>
    <col min="10" max="10" width="13.28125" style="0" customWidth="1"/>
    <col min="11" max="11" width="11.8515625" style="0" customWidth="1"/>
    <col min="12" max="12" width="9.7109375" style="0" customWidth="1"/>
    <col min="13" max="13" width="12.28125" style="0" customWidth="1"/>
    <col min="14" max="14" width="10.7109375" style="0" customWidth="1"/>
    <col min="15" max="15" width="3.57421875" style="0" customWidth="1"/>
  </cols>
  <sheetData>
    <row r="2" spans="3:13" ht="26.25">
      <c r="C2" s="320" t="str">
        <f>Inputs!C2</f>
        <v>Resource Efficient Scotland - Hospital food waste disposal calculator </v>
      </c>
      <c r="D2" s="320"/>
      <c r="E2" s="320"/>
      <c r="F2" s="320"/>
      <c r="G2" s="320"/>
      <c r="H2" s="320"/>
      <c r="I2" s="320"/>
      <c r="J2" s="320"/>
      <c r="K2" s="320"/>
      <c r="L2" s="320"/>
      <c r="M2" s="320"/>
    </row>
    <row r="3" spans="3:9" ht="21">
      <c r="C3" s="321" t="s">
        <v>258</v>
      </c>
      <c r="D3" s="321"/>
      <c r="E3" s="321"/>
      <c r="F3" s="321"/>
      <c r="I3" t="s">
        <v>208</v>
      </c>
    </row>
    <row r="4" ht="15.75" thickBot="1"/>
    <row r="5" spans="3:14" ht="15">
      <c r="C5" s="133"/>
      <c r="D5" s="332" t="s">
        <v>182</v>
      </c>
      <c r="E5" s="333"/>
      <c r="F5" s="333"/>
      <c r="G5" s="333"/>
      <c r="H5" s="334"/>
      <c r="I5" s="357" t="s">
        <v>0</v>
      </c>
      <c r="J5" s="357"/>
      <c r="K5" s="357"/>
      <c r="L5" s="357"/>
      <c r="M5" s="357"/>
      <c r="N5" s="357"/>
    </row>
    <row r="6" spans="3:14" ht="15.75" thickBot="1">
      <c r="C6" s="133"/>
      <c r="D6" s="359" t="s">
        <v>189</v>
      </c>
      <c r="E6" s="286"/>
      <c r="F6" s="286"/>
      <c r="G6" s="286"/>
      <c r="H6" s="287"/>
      <c r="I6" s="357"/>
      <c r="J6" s="357"/>
      <c r="K6" s="357"/>
      <c r="L6" s="357"/>
      <c r="M6" s="357"/>
      <c r="N6" s="357"/>
    </row>
    <row r="7" spans="3:14" ht="15">
      <c r="C7" s="38" t="s">
        <v>183</v>
      </c>
      <c r="D7" s="3" t="s">
        <v>184</v>
      </c>
      <c r="E7" s="3" t="s">
        <v>185</v>
      </c>
      <c r="F7" s="3" t="s">
        <v>186</v>
      </c>
      <c r="G7" s="3" t="s">
        <v>187</v>
      </c>
      <c r="H7" s="124" t="s">
        <v>188</v>
      </c>
      <c r="I7" s="357"/>
      <c r="J7" s="357"/>
      <c r="K7" s="357"/>
      <c r="L7" s="357"/>
      <c r="M7" s="357"/>
      <c r="N7" s="357"/>
    </row>
    <row r="8" spans="3:14" ht="15">
      <c r="C8" s="5">
        <v>1</v>
      </c>
      <c r="D8" s="50" t="e">
        <f>C8*'Default values'!D10</f>
        <v>#VALUE!</v>
      </c>
      <c r="E8" s="50" t="e">
        <f>C8*'Default values'!D11</f>
        <v>#VALUE!</v>
      </c>
      <c r="F8" s="50" t="e">
        <f>C8*'Default values'!D12</f>
        <v>#VALUE!</v>
      </c>
      <c r="G8" s="50" t="e">
        <f>C8*'Default values'!D13</f>
        <v>#VALUE!</v>
      </c>
      <c r="H8" s="47" t="e">
        <f>C8*'Default values'!D14</f>
        <v>#VALUE!</v>
      </c>
      <c r="I8" s="357"/>
      <c r="J8" s="357"/>
      <c r="K8" s="357"/>
      <c r="L8" s="357"/>
      <c r="M8" s="357"/>
      <c r="N8" s="357"/>
    </row>
    <row r="9" spans="3:14" ht="15">
      <c r="C9" s="5">
        <v>2</v>
      </c>
      <c r="D9" s="50" t="e">
        <f>C9*D8</f>
        <v>#VALUE!</v>
      </c>
      <c r="E9" s="50" t="e">
        <f>C9*E8</f>
        <v>#VALUE!</v>
      </c>
      <c r="F9" s="50" t="e">
        <f>C9*F8</f>
        <v>#VALUE!</v>
      </c>
      <c r="G9" s="50" t="e">
        <f>C9*G8</f>
        <v>#VALUE!</v>
      </c>
      <c r="H9" s="47" t="e">
        <f>C9*H8</f>
        <v>#VALUE!</v>
      </c>
      <c r="I9" s="357"/>
      <c r="J9" s="357"/>
      <c r="K9" s="357"/>
      <c r="L9" s="357"/>
      <c r="M9" s="357"/>
      <c r="N9" s="357"/>
    </row>
    <row r="10" spans="3:14" ht="15">
      <c r="C10" s="5">
        <v>3</v>
      </c>
      <c r="D10" s="50" t="e">
        <f>C10*D8</f>
        <v>#VALUE!</v>
      </c>
      <c r="E10" s="50" t="e">
        <f>C10*E8</f>
        <v>#VALUE!</v>
      </c>
      <c r="F10" s="50" t="e">
        <f>C10*F8</f>
        <v>#VALUE!</v>
      </c>
      <c r="G10" s="50" t="e">
        <f>C10*G8</f>
        <v>#VALUE!</v>
      </c>
      <c r="H10" s="47" t="e">
        <f>C10*H8</f>
        <v>#VALUE!</v>
      </c>
      <c r="I10" s="357"/>
      <c r="J10" s="357"/>
      <c r="K10" s="357"/>
      <c r="L10" s="357"/>
      <c r="M10" s="357"/>
      <c r="N10" s="357"/>
    </row>
    <row r="11" spans="3:14" ht="15">
      <c r="C11" s="5">
        <v>4</v>
      </c>
      <c r="D11" s="50" t="e">
        <f>C11*D8</f>
        <v>#VALUE!</v>
      </c>
      <c r="E11" s="50" t="e">
        <f>C11*E8</f>
        <v>#VALUE!</v>
      </c>
      <c r="F11" s="50" t="e">
        <f>C11*F8</f>
        <v>#VALUE!</v>
      </c>
      <c r="G11" s="50" t="e">
        <f>C11*G8</f>
        <v>#VALUE!</v>
      </c>
      <c r="H11" s="47" t="e">
        <f>C11*H8</f>
        <v>#VALUE!</v>
      </c>
      <c r="I11" s="357"/>
      <c r="J11" s="357"/>
      <c r="K11" s="357"/>
      <c r="L11" s="357"/>
      <c r="M11" s="357"/>
      <c r="N11" s="357"/>
    </row>
    <row r="12" spans="3:14" ht="15">
      <c r="C12" s="5">
        <v>5</v>
      </c>
      <c r="D12" s="52" t="e">
        <f>C12*D8</f>
        <v>#VALUE!</v>
      </c>
      <c r="E12" s="52" t="e">
        <f>C12*E8</f>
        <v>#VALUE!</v>
      </c>
      <c r="F12" s="52" t="e">
        <f>C12*F8</f>
        <v>#VALUE!</v>
      </c>
      <c r="G12" s="52" t="e">
        <f>C12*G8</f>
        <v>#VALUE!</v>
      </c>
      <c r="H12" s="125" t="e">
        <f>C12*H8</f>
        <v>#VALUE!</v>
      </c>
      <c r="I12" s="357"/>
      <c r="J12" s="357"/>
      <c r="K12" s="357"/>
      <c r="L12" s="357"/>
      <c r="M12" s="357"/>
      <c r="N12" s="357"/>
    </row>
    <row r="13" spans="3:14" ht="15.75" thickBot="1">
      <c r="C13" s="15" t="s">
        <v>190</v>
      </c>
      <c r="D13" s="53" t="e">
        <f>IF('Default values'!G76&lt;D8,C8,IF('Default values'!G76&lt;D9,C9,IF('Default values'!G76&lt;D10,C10,IF('Default values'!G76&lt;D11,C11,IF('Default values'!G76&lt;D12,C12,0)))))</f>
        <v>#VALUE!</v>
      </c>
      <c r="E13" s="53" t="e">
        <f>IF('Default values'!G76&lt;E8,C8,IF('Default values'!G76&lt;E9,C9,IF('Default values'!G76&lt;E10,C10,IF('Default values'!G76&lt;E11,C11,IF('Default values'!G76&lt;E12,C12,0)))))</f>
        <v>#VALUE!</v>
      </c>
      <c r="F13" s="53" t="e">
        <f>IF('Default values'!G76&lt;F8,C8,IF('Default values'!G76&lt;F9,C9,IF('Default values'!G76&lt;F10,C10,IF('Default values'!G76&lt;F11,C11,IF('Default values'!G76&lt;F12,C12,0)))))</f>
        <v>#VALUE!</v>
      </c>
      <c r="G13" s="53" t="e">
        <f>IF('Default values'!G76&lt;G8,C8,IF('Default values'!G76&lt;G9,C9,IF('Default values'!G76&lt;G10,C10,IF('Default values'!G76&lt;G11,C11,IF('Default values'!G76&lt;G12,C12,0)))))</f>
        <v>#VALUE!</v>
      </c>
      <c r="H13" s="48" t="e">
        <f>IF('Default values'!G76&lt;H8,C8,IF('Default values'!G76&lt;H9,C9,IF('Default values'!G76&lt;H10,C10,IF('Default values'!G76&lt;H11,C11,IF('Default values'!G76&lt;H12,C12,0)))))</f>
        <v>#VALUE!</v>
      </c>
      <c r="I13" s="357"/>
      <c r="J13" s="357"/>
      <c r="K13" s="357"/>
      <c r="L13" s="357"/>
      <c r="M13" s="357"/>
      <c r="N13" s="357"/>
    </row>
    <row r="14" spans="3:14" ht="15.75" thickBot="1">
      <c r="C14" s="133"/>
      <c r="D14" s="133"/>
      <c r="E14" s="133"/>
      <c r="F14" s="133"/>
      <c r="G14" s="133"/>
      <c r="H14" s="133"/>
      <c r="I14" s="358"/>
      <c r="J14" s="358"/>
      <c r="K14" s="358"/>
      <c r="L14" s="358"/>
      <c r="M14" s="358"/>
      <c r="N14" s="358"/>
    </row>
    <row r="15" spans="3:14" ht="15.75" thickBot="1">
      <c r="C15" s="133"/>
      <c r="D15" s="352" t="s">
        <v>191</v>
      </c>
      <c r="E15" s="353"/>
      <c r="F15" s="353"/>
      <c r="G15" s="353"/>
      <c r="H15" s="353"/>
      <c r="I15" s="353"/>
      <c r="J15" s="353"/>
      <c r="K15" s="353"/>
      <c r="L15" s="353"/>
      <c r="M15" s="353"/>
      <c r="N15" s="354"/>
    </row>
    <row r="16" spans="3:14" ht="15">
      <c r="C16" s="355" t="s">
        <v>192</v>
      </c>
      <c r="D16" s="316" t="s">
        <v>193</v>
      </c>
      <c r="E16" s="316" t="s">
        <v>194</v>
      </c>
      <c r="F16" s="316" t="s">
        <v>195</v>
      </c>
      <c r="G16" s="316" t="str">
        <f>'Default values'!K7</f>
        <v>Throughput rate</v>
      </c>
      <c r="H16" s="316" t="str">
        <f>'Default values'!E7</f>
        <v>Capex</v>
      </c>
      <c r="I16" s="316" t="str">
        <f>'Default values'!F7</f>
        <v>Installation cost</v>
      </c>
      <c r="J16" s="316" t="str">
        <f>'Default values'!G7</f>
        <v>Maintenance cost</v>
      </c>
      <c r="K16" s="316" t="str">
        <f>'Default values'!H7</f>
        <v>Electrical power</v>
      </c>
      <c r="L16" s="316" t="str">
        <f>'Default values'!I7</f>
        <v>Water use</v>
      </c>
      <c r="M16" s="316" t="str">
        <f>'Default values'!J7</f>
        <v>% food to sewer</v>
      </c>
      <c r="N16" s="318" t="s">
        <v>196</v>
      </c>
    </row>
    <row r="17" spans="3:14" ht="15">
      <c r="C17" s="356"/>
      <c r="D17" s="316"/>
      <c r="E17" s="316"/>
      <c r="F17" s="316"/>
      <c r="G17" s="316"/>
      <c r="H17" s="316"/>
      <c r="I17" s="316"/>
      <c r="J17" s="316"/>
      <c r="K17" s="316"/>
      <c r="L17" s="316"/>
      <c r="M17" s="316"/>
      <c r="N17" s="318"/>
    </row>
    <row r="18" spans="3:14" ht="15">
      <c r="C18" s="356"/>
      <c r="D18" s="316"/>
      <c r="E18" s="3" t="s">
        <v>79</v>
      </c>
      <c r="F18" s="3" t="str">
        <f>E18</f>
        <v>kg/d</v>
      </c>
      <c r="G18" s="3" t="str">
        <f>'Default values'!K9</f>
        <v>kg/h</v>
      </c>
      <c r="H18" s="3" t="str">
        <f>'Default values'!E9</f>
        <v>£</v>
      </c>
      <c r="I18" s="3" t="str">
        <f>'Default values'!F9</f>
        <v>£</v>
      </c>
      <c r="J18" s="3" t="str">
        <f>'Default values'!G9</f>
        <v>£/a</v>
      </c>
      <c r="K18" s="3" t="str">
        <f>'Default values'!H9</f>
        <v>kW</v>
      </c>
      <c r="L18" s="3" t="str">
        <f>'Default values'!I9</f>
        <v>l/h</v>
      </c>
      <c r="M18" s="3" t="str">
        <f>'Default values'!J9</f>
        <v>% (w/w)</v>
      </c>
      <c r="N18" s="318"/>
    </row>
    <row r="19" spans="3:14" ht="15">
      <c r="C19" s="5">
        <v>1</v>
      </c>
      <c r="D19" s="50" t="e">
        <f>D13</f>
        <v>#VALUE!</v>
      </c>
      <c r="E19" s="50" t="e">
        <f>D8</f>
        <v>#VALUE!</v>
      </c>
      <c r="F19" s="50" t="e">
        <f>D19*E19</f>
        <v>#VALUE!</v>
      </c>
      <c r="G19" s="50" t="e">
        <f>D19*VLOOKUP(E19,'Default values'!D10:K14,8,FALSE)</f>
        <v>#VALUE!</v>
      </c>
      <c r="H19" s="50" t="e">
        <f>D19*VLOOKUP(E19,'Default values'!D10:K14,2,FALSE)</f>
        <v>#VALUE!</v>
      </c>
      <c r="I19" s="50" t="e">
        <f>D19*VLOOKUP(E19,'Default values'!D10:K14,3,FALSE)</f>
        <v>#VALUE!</v>
      </c>
      <c r="J19" s="50" t="e">
        <f>D19*VLOOKUP(E19,'Default values'!D10:K14,4,FALSE)</f>
        <v>#VALUE!</v>
      </c>
      <c r="K19" s="50" t="e">
        <f>D19*VLOOKUP(E19,'Default values'!D10:K14,5,FALSE)</f>
        <v>#VALUE!</v>
      </c>
      <c r="L19" s="50" t="e">
        <f>D19*VLOOKUP(E19,'Default values'!D10:K14,6,FALSE)</f>
        <v>#VALUE!</v>
      </c>
      <c r="M19" s="50" t="e">
        <f>D19*VLOOKUP(E19,'Default values'!D10:K14,7,FALSE)</f>
        <v>#VALUE!</v>
      </c>
      <c r="N19" s="47">
        <f>C19</f>
        <v>1</v>
      </c>
    </row>
    <row r="20" spans="3:14" ht="15">
      <c r="C20" s="5">
        <v>2</v>
      </c>
      <c r="D20" s="50" t="e">
        <f>E13</f>
        <v>#VALUE!</v>
      </c>
      <c r="E20" s="50" t="e">
        <f>E8</f>
        <v>#VALUE!</v>
      </c>
      <c r="F20" s="50" t="e">
        <f>D20*E20</f>
        <v>#VALUE!</v>
      </c>
      <c r="G20" s="50" t="e">
        <f>D20*VLOOKUP(E20,'Default values'!D10:K14,8,FALSE)</f>
        <v>#VALUE!</v>
      </c>
      <c r="H20" s="50" t="e">
        <f>D20*VLOOKUP(E20,'Default values'!D10:K14,2,FALSE)</f>
        <v>#VALUE!</v>
      </c>
      <c r="I20" s="50" t="e">
        <f>D20*VLOOKUP(E20,'Default values'!D10:K14,3,FALSE)</f>
        <v>#VALUE!</v>
      </c>
      <c r="J20" s="50" t="e">
        <f>D20*VLOOKUP(E20,'Default values'!D10:K14,4,FALSE)</f>
        <v>#VALUE!</v>
      </c>
      <c r="K20" s="50" t="e">
        <f>D20*VLOOKUP(E20,'Default values'!D10:K14,5,FALSE)</f>
        <v>#VALUE!</v>
      </c>
      <c r="L20" s="50" t="e">
        <f>D20*VLOOKUP(E20,'Default values'!D10:K14,6,FALSE)</f>
        <v>#VALUE!</v>
      </c>
      <c r="M20" s="50" t="e">
        <f>D20*VLOOKUP(E20,'Default values'!D10:K14,7,FALSE)</f>
        <v>#VALUE!</v>
      </c>
      <c r="N20" s="47">
        <f>C20</f>
        <v>2</v>
      </c>
    </row>
    <row r="21" spans="3:14" ht="15">
      <c r="C21" s="5">
        <v>3</v>
      </c>
      <c r="D21" s="50" t="e">
        <f>F13</f>
        <v>#VALUE!</v>
      </c>
      <c r="E21" s="50" t="e">
        <f>F8</f>
        <v>#VALUE!</v>
      </c>
      <c r="F21" s="50" t="e">
        <f>D21*E21</f>
        <v>#VALUE!</v>
      </c>
      <c r="G21" s="50" t="e">
        <f>D21*VLOOKUP(E21,'Default values'!D10:K14,8,FALSE)</f>
        <v>#VALUE!</v>
      </c>
      <c r="H21" s="50" t="e">
        <f>D21*VLOOKUP(E21,'Default values'!D10:K14,2,FALSE)</f>
        <v>#VALUE!</v>
      </c>
      <c r="I21" s="50" t="e">
        <f>D21*VLOOKUP(E21,'Default values'!D10:K14,3,FALSE)</f>
        <v>#VALUE!</v>
      </c>
      <c r="J21" s="50" t="e">
        <f>D21*VLOOKUP(E21,'Default values'!D10:K14,4,FALSE)</f>
        <v>#VALUE!</v>
      </c>
      <c r="K21" s="50" t="e">
        <f>D21*VLOOKUP(E21,'Default values'!D10:K14,5,FALSE)</f>
        <v>#VALUE!</v>
      </c>
      <c r="L21" s="50" t="e">
        <f>D21*VLOOKUP(E21,'Default values'!D10:K14,6,FALSE)</f>
        <v>#VALUE!</v>
      </c>
      <c r="M21" s="50" t="e">
        <f>D21*VLOOKUP(E21,'Default values'!D10:K14,7,FALSE)</f>
        <v>#VALUE!</v>
      </c>
      <c r="N21" s="47">
        <f>C21</f>
        <v>3</v>
      </c>
    </row>
    <row r="22" spans="3:14" ht="15">
      <c r="C22" s="5">
        <v>4</v>
      </c>
      <c r="D22" s="50" t="e">
        <f>G13</f>
        <v>#VALUE!</v>
      </c>
      <c r="E22" s="50" t="e">
        <f>G8</f>
        <v>#VALUE!</v>
      </c>
      <c r="F22" s="50" t="e">
        <f>D22*E22</f>
        <v>#VALUE!</v>
      </c>
      <c r="G22" s="50" t="e">
        <f>D22*VLOOKUP(E22,'Default values'!D10:K14,8,FALSE)</f>
        <v>#VALUE!</v>
      </c>
      <c r="H22" s="50" t="e">
        <f>D22*VLOOKUP(E22,'Default values'!D10:K14,2,FALSE)</f>
        <v>#VALUE!</v>
      </c>
      <c r="I22" s="50" t="e">
        <f>D22*VLOOKUP(E22,'Default values'!D10:K14,3,FALSE)</f>
        <v>#VALUE!</v>
      </c>
      <c r="J22" s="50" t="e">
        <f>D22*VLOOKUP(E22,'Default values'!D10:K14,4,FALSE)</f>
        <v>#VALUE!</v>
      </c>
      <c r="K22" s="50" t="e">
        <f>D22*VLOOKUP(E22,'Default values'!D10:K14,5,FALSE)</f>
        <v>#VALUE!</v>
      </c>
      <c r="L22" s="50" t="e">
        <f>D22*VLOOKUP(E22,'Default values'!D10:K14,6,FALSE)</f>
        <v>#VALUE!</v>
      </c>
      <c r="M22" s="50" t="e">
        <f>D22*VLOOKUP(E22,'Default values'!D10:K14,7,FALSE)</f>
        <v>#VALUE!</v>
      </c>
      <c r="N22" s="47">
        <f>C22</f>
        <v>4</v>
      </c>
    </row>
    <row r="23" spans="3:14" ht="15.75" thickBot="1">
      <c r="C23" s="6">
        <v>5</v>
      </c>
      <c r="D23" s="53" t="e">
        <f>H13</f>
        <v>#VALUE!</v>
      </c>
      <c r="E23" s="53" t="e">
        <f>H8</f>
        <v>#VALUE!</v>
      </c>
      <c r="F23" s="53" t="e">
        <f>D23*E23</f>
        <v>#VALUE!</v>
      </c>
      <c r="G23" s="53" t="e">
        <f>D23*VLOOKUP(E23,'Default values'!D10:K14,8,FALSE)</f>
        <v>#VALUE!</v>
      </c>
      <c r="H23" s="53" t="e">
        <f>D23*VLOOKUP(E23,'Default values'!D10:K14,2,FALSE)</f>
        <v>#VALUE!</v>
      </c>
      <c r="I23" s="53" t="e">
        <f>D23*VLOOKUP(E23,'Default values'!D10:K14,3,FALSE)</f>
        <v>#VALUE!</v>
      </c>
      <c r="J23" s="53" t="e">
        <f>D23*VLOOKUP(E23,'Default values'!D10:K14,4,FALSE)</f>
        <v>#VALUE!</v>
      </c>
      <c r="K23" s="53" t="e">
        <f>D23*VLOOKUP(E23,'Default values'!D10:K14,5,FALSE)</f>
        <v>#VALUE!</v>
      </c>
      <c r="L23" s="53" t="e">
        <f>D23*VLOOKUP(E23,'Default values'!D10:K14,6,FALSE)</f>
        <v>#VALUE!</v>
      </c>
      <c r="M23" s="53" t="e">
        <f>D23*VLOOKUP(E23,'Default values'!D10:K14,7,FALSE)</f>
        <v>#VALUE!</v>
      </c>
      <c r="N23" s="48">
        <f>C23</f>
        <v>5</v>
      </c>
    </row>
    <row r="24" spans="3:14" ht="15.75" thickBot="1">
      <c r="C24" s="133"/>
      <c r="D24" s="133"/>
      <c r="E24" s="133"/>
      <c r="F24" s="133"/>
      <c r="G24" s="133"/>
      <c r="H24" s="133"/>
      <c r="I24" s="133"/>
      <c r="J24" s="133"/>
      <c r="K24" s="133"/>
      <c r="L24" s="133"/>
      <c r="M24" s="133"/>
      <c r="N24" s="133"/>
    </row>
    <row r="25" spans="3:14" ht="15.75" thickBot="1">
      <c r="C25" s="347" t="s">
        <v>199</v>
      </c>
      <c r="D25" s="348"/>
      <c r="E25" s="349"/>
      <c r="F25" s="350" t="s">
        <v>197</v>
      </c>
      <c r="G25" s="351"/>
      <c r="H25" s="127" t="e">
        <f>SMALL(H19:H23,COUNTIF(H19:H23,0)+1)</f>
        <v>#VALUE!</v>
      </c>
      <c r="I25" s="126" t="s">
        <v>198</v>
      </c>
      <c r="J25" s="127" t="e">
        <f>VLOOKUP(H25,H19:N23,7,FALSE)</f>
        <v>#VALUE!</v>
      </c>
      <c r="K25" s="133"/>
      <c r="L25" s="133"/>
      <c r="M25" s="133"/>
      <c r="N25" s="133"/>
    </row>
    <row r="26" ht="15.75" thickBot="1"/>
    <row r="27" spans="3:14" ht="15">
      <c r="C27" s="133"/>
      <c r="D27" s="332" t="s">
        <v>73</v>
      </c>
      <c r="E27" s="333"/>
      <c r="F27" s="333"/>
      <c r="G27" s="333"/>
      <c r="H27" s="334"/>
      <c r="I27" s="357" t="s">
        <v>1</v>
      </c>
      <c r="J27" s="357"/>
      <c r="K27" s="357"/>
      <c r="L27" s="357"/>
      <c r="M27" s="357"/>
      <c r="N27" s="357"/>
    </row>
    <row r="28" spans="3:14" ht="15.75" thickBot="1">
      <c r="C28" s="133"/>
      <c r="D28" s="359" t="s">
        <v>189</v>
      </c>
      <c r="E28" s="286"/>
      <c r="F28" s="286"/>
      <c r="G28" s="286"/>
      <c r="H28" s="287"/>
      <c r="I28" s="357"/>
      <c r="J28" s="357"/>
      <c r="K28" s="357"/>
      <c r="L28" s="357"/>
      <c r="M28" s="357"/>
      <c r="N28" s="357"/>
    </row>
    <row r="29" spans="3:14" ht="15">
      <c r="C29" s="38" t="s">
        <v>183</v>
      </c>
      <c r="D29" s="3" t="s">
        <v>184</v>
      </c>
      <c r="E29" s="3" t="s">
        <v>185</v>
      </c>
      <c r="F29" s="3" t="s">
        <v>186</v>
      </c>
      <c r="G29" s="3" t="s">
        <v>187</v>
      </c>
      <c r="H29" s="124" t="s">
        <v>188</v>
      </c>
      <c r="I29" s="357"/>
      <c r="J29" s="357"/>
      <c r="K29" s="357"/>
      <c r="L29" s="357"/>
      <c r="M29" s="357"/>
      <c r="N29" s="357"/>
    </row>
    <row r="30" spans="3:14" ht="15">
      <c r="C30" s="5">
        <v>1</v>
      </c>
      <c r="D30" s="50" t="e">
        <f>C30*'Default values'!D20</f>
        <v>#VALUE!</v>
      </c>
      <c r="E30" s="50" t="e">
        <f>C30*'Default values'!D21</f>
        <v>#VALUE!</v>
      </c>
      <c r="F30" s="50" t="e">
        <f>C30*'Default values'!D22</f>
        <v>#VALUE!</v>
      </c>
      <c r="G30" s="50" t="e">
        <f>C30*'Default values'!D23</f>
        <v>#VALUE!</v>
      </c>
      <c r="H30" s="47" t="e">
        <f>C30*'Default values'!D24</f>
        <v>#VALUE!</v>
      </c>
      <c r="I30" s="357"/>
      <c r="J30" s="357"/>
      <c r="K30" s="357"/>
      <c r="L30" s="357"/>
      <c r="M30" s="357"/>
      <c r="N30" s="357"/>
    </row>
    <row r="31" spans="3:14" ht="15">
      <c r="C31" s="5">
        <v>2</v>
      </c>
      <c r="D31" s="50" t="e">
        <f>C31*D30</f>
        <v>#VALUE!</v>
      </c>
      <c r="E31" s="50" t="e">
        <f>C31*E30</f>
        <v>#VALUE!</v>
      </c>
      <c r="F31" s="50" t="e">
        <f>C31*F30</f>
        <v>#VALUE!</v>
      </c>
      <c r="G31" s="50" t="e">
        <f>C31*G30</f>
        <v>#VALUE!</v>
      </c>
      <c r="H31" s="47" t="e">
        <f>C31*H30</f>
        <v>#VALUE!</v>
      </c>
      <c r="I31" s="357"/>
      <c r="J31" s="357"/>
      <c r="K31" s="357"/>
      <c r="L31" s="357"/>
      <c r="M31" s="357"/>
      <c r="N31" s="357"/>
    </row>
    <row r="32" spans="3:14" ht="15">
      <c r="C32" s="5">
        <v>3</v>
      </c>
      <c r="D32" s="50" t="e">
        <f>C32*D30</f>
        <v>#VALUE!</v>
      </c>
      <c r="E32" s="50" t="e">
        <f>C32*E30</f>
        <v>#VALUE!</v>
      </c>
      <c r="F32" s="50" t="e">
        <f>C32*F30</f>
        <v>#VALUE!</v>
      </c>
      <c r="G32" s="50" t="e">
        <f>C32*G30</f>
        <v>#VALUE!</v>
      </c>
      <c r="H32" s="47" t="e">
        <f>C32*H30</f>
        <v>#VALUE!</v>
      </c>
      <c r="I32" s="357"/>
      <c r="J32" s="357"/>
      <c r="K32" s="357"/>
      <c r="L32" s="357"/>
      <c r="M32" s="357"/>
      <c r="N32" s="357"/>
    </row>
    <row r="33" spans="3:14" ht="15">
      <c r="C33" s="5">
        <v>4</v>
      </c>
      <c r="D33" s="50" t="e">
        <f>C33*D30</f>
        <v>#VALUE!</v>
      </c>
      <c r="E33" s="50" t="e">
        <f>C33*E30</f>
        <v>#VALUE!</v>
      </c>
      <c r="F33" s="50" t="e">
        <f>C33*F30</f>
        <v>#VALUE!</v>
      </c>
      <c r="G33" s="50" t="e">
        <f>C33*G30</f>
        <v>#VALUE!</v>
      </c>
      <c r="H33" s="47" t="e">
        <f>C33*H30</f>
        <v>#VALUE!</v>
      </c>
      <c r="I33" s="357"/>
      <c r="J33" s="357"/>
      <c r="K33" s="357"/>
      <c r="L33" s="357"/>
      <c r="M33" s="357"/>
      <c r="N33" s="357"/>
    </row>
    <row r="34" spans="3:14" ht="15">
      <c r="C34" s="5">
        <v>5</v>
      </c>
      <c r="D34" s="52" t="e">
        <f>C34*D30</f>
        <v>#VALUE!</v>
      </c>
      <c r="E34" s="52" t="e">
        <f>C34*E30</f>
        <v>#VALUE!</v>
      </c>
      <c r="F34" s="52" t="e">
        <f>C34*F30</f>
        <v>#VALUE!</v>
      </c>
      <c r="G34" s="52" t="e">
        <f>C34*G30</f>
        <v>#VALUE!</v>
      </c>
      <c r="H34" s="125" t="e">
        <f>C34*H30</f>
        <v>#VALUE!</v>
      </c>
      <c r="I34" s="357"/>
      <c r="J34" s="357"/>
      <c r="K34" s="357"/>
      <c r="L34" s="357"/>
      <c r="M34" s="357"/>
      <c r="N34" s="357"/>
    </row>
    <row r="35" spans="3:14" ht="15.75" thickBot="1">
      <c r="C35" s="15" t="s">
        <v>190</v>
      </c>
      <c r="D35" s="53" t="e">
        <f>IF('Default values'!$G$76&lt;D30,C30,IF('Default values'!$G$76&lt;D31,C31,IF('Default values'!$G$76&lt;D32,C32,IF('Default values'!$G$76&lt;D33,C33,IF('Default values'!$G$76&lt;D34,C34,0)))))</f>
        <v>#VALUE!</v>
      </c>
      <c r="E35" s="53" t="e">
        <f>IF('Default values'!$G$76&lt;E30,C30,IF('Default values'!$G$76&lt;E31,C31,IF('Default values'!$G$76&lt;E32,C32,IF('Default values'!$G$76&lt;E33,C33,IF('Default values'!$G$76&lt;E34,C34,0)))))</f>
        <v>#VALUE!</v>
      </c>
      <c r="F35" s="53" t="e">
        <f>IF('Default values'!$G$76&lt;F30,C30,IF('Default values'!$G$76&lt;F31,C31,IF('Default values'!$G$76&lt;F32,C32,IF('Default values'!$G$76&lt;F33,C33,IF('Default values'!$G$76&lt;F34,C34,0)))))</f>
        <v>#VALUE!</v>
      </c>
      <c r="G35" s="53" t="e">
        <f>IF('Default values'!$G$76&lt;G30,C30,IF('Default values'!$G$76&lt;G31,C31,IF('Default values'!$G$76&lt;G32,C32,IF('Default values'!$G$76&lt;G33,C33,IF('Default values'!$G$76&lt;G34,C34,0)))))</f>
        <v>#VALUE!</v>
      </c>
      <c r="H35" s="48" t="e">
        <f>IF('Default values'!$G$76&lt;H30,C30,IF('Default values'!$G$76&lt;H31,C31,IF('Default values'!$G$76&lt;H32,C32,IF('Default values'!$G$76&lt;H33,C33,IF('Default values'!$G$76&lt;H34,C34,0)))))</f>
        <v>#VALUE!</v>
      </c>
      <c r="I35" s="357"/>
      <c r="J35" s="357"/>
      <c r="K35" s="357"/>
      <c r="L35" s="357"/>
      <c r="M35" s="357"/>
      <c r="N35" s="357"/>
    </row>
    <row r="36" spans="3:14" ht="15.75" thickBot="1">
      <c r="C36" s="133"/>
      <c r="D36" s="133"/>
      <c r="E36" s="133"/>
      <c r="F36" s="133"/>
      <c r="G36" s="133"/>
      <c r="H36" s="133"/>
      <c r="I36" s="358"/>
      <c r="J36" s="358"/>
      <c r="K36" s="358"/>
      <c r="L36" s="358"/>
      <c r="M36" s="358"/>
      <c r="N36" s="358"/>
    </row>
    <row r="37" spans="3:14" ht="15.75" thickBot="1">
      <c r="C37" s="133"/>
      <c r="D37" s="352" t="s">
        <v>206</v>
      </c>
      <c r="E37" s="353"/>
      <c r="F37" s="353"/>
      <c r="G37" s="353"/>
      <c r="H37" s="353"/>
      <c r="I37" s="353"/>
      <c r="J37" s="353"/>
      <c r="K37" s="353"/>
      <c r="L37" s="353"/>
      <c r="M37" s="353"/>
      <c r="N37" s="354"/>
    </row>
    <row r="38" spans="3:14" ht="15">
      <c r="C38" s="355" t="s">
        <v>192</v>
      </c>
      <c r="D38" s="316" t="s">
        <v>193</v>
      </c>
      <c r="E38" s="316" t="s">
        <v>194</v>
      </c>
      <c r="F38" s="316" t="s">
        <v>195</v>
      </c>
      <c r="G38" s="316" t="str">
        <f>'Default values'!K17</f>
        <v>Throughput rate</v>
      </c>
      <c r="H38" s="316" t="str">
        <f>'Default values'!E17</f>
        <v>Capex</v>
      </c>
      <c r="I38" s="316" t="str">
        <f>'Default values'!F17</f>
        <v>Installation cost</v>
      </c>
      <c r="J38" s="316" t="str">
        <f>'Default values'!G17</f>
        <v>Maintenance cost</v>
      </c>
      <c r="K38" s="316" t="str">
        <f>'Default values'!H17</f>
        <v>Electrical power</v>
      </c>
      <c r="L38" s="316" t="str">
        <f>'Default values'!I17</f>
        <v>Water use</v>
      </c>
      <c r="M38" s="316" t="str">
        <f>'Default values'!J17</f>
        <v>% food to sewer</v>
      </c>
      <c r="N38" s="318" t="s">
        <v>196</v>
      </c>
    </row>
    <row r="39" spans="3:14" ht="15">
      <c r="C39" s="356"/>
      <c r="D39" s="316"/>
      <c r="E39" s="316"/>
      <c r="F39" s="316"/>
      <c r="G39" s="316"/>
      <c r="H39" s="316"/>
      <c r="I39" s="316"/>
      <c r="J39" s="316"/>
      <c r="K39" s="316"/>
      <c r="L39" s="316"/>
      <c r="M39" s="316"/>
      <c r="N39" s="318"/>
    </row>
    <row r="40" spans="3:14" ht="15">
      <c r="C40" s="356"/>
      <c r="D40" s="316"/>
      <c r="E40" s="3" t="s">
        <v>79</v>
      </c>
      <c r="F40" s="3" t="str">
        <f>E40</f>
        <v>kg/d</v>
      </c>
      <c r="G40" s="3" t="str">
        <f>'Default values'!K19</f>
        <v>kg/h</v>
      </c>
      <c r="H40" s="3" t="str">
        <f>'Default values'!E19</f>
        <v>£</v>
      </c>
      <c r="I40" s="3" t="str">
        <f>'Default values'!F19</f>
        <v>£</v>
      </c>
      <c r="J40" s="3" t="str">
        <f>'Default values'!G19</f>
        <v>£/a</v>
      </c>
      <c r="K40" s="3" t="str">
        <f>'Default values'!H19</f>
        <v>kW</v>
      </c>
      <c r="L40" s="3" t="str">
        <f>'Default values'!I19</f>
        <v>l/h</v>
      </c>
      <c r="M40" s="3" t="str">
        <f>'Default values'!J19</f>
        <v>% (w/w)</v>
      </c>
      <c r="N40" s="318"/>
    </row>
    <row r="41" spans="3:14" ht="15">
      <c r="C41" s="5">
        <v>1</v>
      </c>
      <c r="D41" s="50" t="e">
        <f>D35</f>
        <v>#VALUE!</v>
      </c>
      <c r="E41" s="50" t="e">
        <f>D30</f>
        <v>#VALUE!</v>
      </c>
      <c r="F41" s="50" t="e">
        <f>D41*E41</f>
        <v>#VALUE!</v>
      </c>
      <c r="G41" s="50" t="e">
        <f>D41*VLOOKUP(E41,'Default values'!D20:K24,8,FALSE)</f>
        <v>#VALUE!</v>
      </c>
      <c r="H41" s="50" t="e">
        <f>D41*VLOOKUP(E41,'Default values'!D20:K24,2,FALSE)</f>
        <v>#VALUE!</v>
      </c>
      <c r="I41" s="50" t="e">
        <f>D41*VLOOKUP(E41,'Default values'!D20:K24,3,FALSE)</f>
        <v>#VALUE!</v>
      </c>
      <c r="J41" s="50" t="e">
        <f>D41*VLOOKUP(E41,'Default values'!D20:K24,4,FALSE)</f>
        <v>#VALUE!</v>
      </c>
      <c r="K41" s="50" t="e">
        <f>D41*VLOOKUP(E41,'Default values'!D20:K24,5,FALSE)</f>
        <v>#VALUE!</v>
      </c>
      <c r="L41" s="50" t="e">
        <f>D41*VLOOKUP(E41,'Default values'!D20:K24,6,FALSE)</f>
        <v>#VALUE!</v>
      </c>
      <c r="M41" s="50" t="e">
        <f>D41*VLOOKUP(E41,'Default values'!D20:K24,7,FALSE)</f>
        <v>#VALUE!</v>
      </c>
      <c r="N41" s="47">
        <f>C41</f>
        <v>1</v>
      </c>
    </row>
    <row r="42" spans="3:14" ht="15">
      <c r="C42" s="5">
        <v>2</v>
      </c>
      <c r="D42" s="50" t="e">
        <f>E35</f>
        <v>#VALUE!</v>
      </c>
      <c r="E42" s="50" t="e">
        <f>E30</f>
        <v>#VALUE!</v>
      </c>
      <c r="F42" s="50" t="e">
        <f>D42*E42</f>
        <v>#VALUE!</v>
      </c>
      <c r="G42" s="50" t="e">
        <f>D42*VLOOKUP(E42,'Default values'!D20:K24,8,FALSE)</f>
        <v>#VALUE!</v>
      </c>
      <c r="H42" s="50" t="e">
        <f>D42*VLOOKUP(E42,'Default values'!D20:K24,2,FALSE)</f>
        <v>#VALUE!</v>
      </c>
      <c r="I42" s="50" t="e">
        <f>D42*VLOOKUP(E42,'Default values'!D20:K24,3,FALSE)</f>
        <v>#VALUE!</v>
      </c>
      <c r="J42" s="50" t="e">
        <f>D42*VLOOKUP(E42,'Default values'!D20:K24,4,FALSE)</f>
        <v>#VALUE!</v>
      </c>
      <c r="K42" s="50" t="e">
        <f>D42*VLOOKUP(E42,'Default values'!D20:K24,5,FALSE)</f>
        <v>#VALUE!</v>
      </c>
      <c r="L42" s="50" t="e">
        <f>D42*VLOOKUP(E42,'Default values'!D20:K24,6,FALSE)</f>
        <v>#VALUE!</v>
      </c>
      <c r="M42" s="50" t="e">
        <f>D42*VLOOKUP(E42,'Default values'!D20:K24,7,FALSE)</f>
        <v>#VALUE!</v>
      </c>
      <c r="N42" s="47">
        <f>C42</f>
        <v>2</v>
      </c>
    </row>
    <row r="43" spans="3:14" ht="15">
      <c r="C43" s="5">
        <v>3</v>
      </c>
      <c r="D43" s="50" t="e">
        <f>F35</f>
        <v>#VALUE!</v>
      </c>
      <c r="E43" s="50" t="e">
        <f>F30</f>
        <v>#VALUE!</v>
      </c>
      <c r="F43" s="50" t="e">
        <f>D43*E43</f>
        <v>#VALUE!</v>
      </c>
      <c r="G43" s="50" t="e">
        <f>D43*VLOOKUP(E43,'Default values'!D20:K24,8,FALSE)</f>
        <v>#VALUE!</v>
      </c>
      <c r="H43" s="50" t="e">
        <f>D43*VLOOKUP(E43,'Default values'!D20:K24,2,FALSE)</f>
        <v>#VALUE!</v>
      </c>
      <c r="I43" s="50" t="e">
        <f>D43*VLOOKUP(E43,'Default values'!D20:K24,3,FALSE)</f>
        <v>#VALUE!</v>
      </c>
      <c r="J43" s="50" t="e">
        <f>D43*VLOOKUP(E43,'Default values'!D20:K24,4,FALSE)</f>
        <v>#VALUE!</v>
      </c>
      <c r="K43" s="50" t="e">
        <f>D43*VLOOKUP(E43,'Default values'!D20:K24,5,FALSE)</f>
        <v>#VALUE!</v>
      </c>
      <c r="L43" s="50" t="e">
        <f>D43*VLOOKUP(E43,'Default values'!D20:K24,6,FALSE)</f>
        <v>#VALUE!</v>
      </c>
      <c r="M43" s="50" t="e">
        <f>D43*VLOOKUP(E43,'Default values'!D20:K24,7,FALSE)</f>
        <v>#VALUE!</v>
      </c>
      <c r="N43" s="47">
        <f>C43</f>
        <v>3</v>
      </c>
    </row>
    <row r="44" spans="3:14" ht="15">
      <c r="C44" s="5">
        <v>4</v>
      </c>
      <c r="D44" s="50" t="e">
        <f>G35</f>
        <v>#VALUE!</v>
      </c>
      <c r="E44" s="50" t="e">
        <f>G30</f>
        <v>#VALUE!</v>
      </c>
      <c r="F44" s="50" t="e">
        <f>D44*E44</f>
        <v>#VALUE!</v>
      </c>
      <c r="G44" s="50" t="e">
        <f>D44*VLOOKUP(E44,'Default values'!D20:K24,8,FALSE)</f>
        <v>#VALUE!</v>
      </c>
      <c r="H44" s="50" t="e">
        <f>D44*VLOOKUP(E44,'Default values'!D20:K24,2,FALSE)</f>
        <v>#VALUE!</v>
      </c>
      <c r="I44" s="50" t="e">
        <f>D44*VLOOKUP(E44,'Default values'!D20:K24,3,FALSE)</f>
        <v>#VALUE!</v>
      </c>
      <c r="J44" s="50" t="e">
        <f>D44*VLOOKUP(E44,'Default values'!D20:K24,4,FALSE)</f>
        <v>#VALUE!</v>
      </c>
      <c r="K44" s="50" t="e">
        <f>D44*VLOOKUP(E44,'Default values'!D20:K24,5,FALSE)</f>
        <v>#VALUE!</v>
      </c>
      <c r="L44" s="50" t="e">
        <f>D44*VLOOKUP(E44,'Default values'!D20:K24,6,FALSE)</f>
        <v>#VALUE!</v>
      </c>
      <c r="M44" s="50" t="e">
        <f>D44*VLOOKUP(E44,'Default values'!D20:K24,7,FALSE)</f>
        <v>#VALUE!</v>
      </c>
      <c r="N44" s="47">
        <f>C44</f>
        <v>4</v>
      </c>
    </row>
    <row r="45" spans="3:14" ht="15.75" thickBot="1">
      <c r="C45" s="6">
        <v>5</v>
      </c>
      <c r="D45" s="53" t="e">
        <f>H35</f>
        <v>#VALUE!</v>
      </c>
      <c r="E45" s="53" t="e">
        <f>H30</f>
        <v>#VALUE!</v>
      </c>
      <c r="F45" s="53" t="e">
        <f>D45*E45</f>
        <v>#VALUE!</v>
      </c>
      <c r="G45" s="53" t="e">
        <f>D45*VLOOKUP(E45,'Default values'!D20:K24,8,FALSE)</f>
        <v>#VALUE!</v>
      </c>
      <c r="H45" s="53" t="e">
        <f>D45*VLOOKUP(E45,'Default values'!D20:K24,2,FALSE)</f>
        <v>#VALUE!</v>
      </c>
      <c r="I45" s="53" t="e">
        <f>D45*VLOOKUP(E45,'Default values'!D20:K24,3,FALSE)</f>
        <v>#VALUE!</v>
      </c>
      <c r="J45" s="53" t="e">
        <f>D45*VLOOKUP(E45,'Default values'!D20:K24,4,FALSE)</f>
        <v>#VALUE!</v>
      </c>
      <c r="K45" s="53" t="e">
        <f>D45*VLOOKUP(E45,'Default values'!D20:K24,5,FALSE)</f>
        <v>#VALUE!</v>
      </c>
      <c r="L45" s="53" t="e">
        <f>D45*VLOOKUP(E45,'Default values'!D20:K24,6,FALSE)</f>
        <v>#VALUE!</v>
      </c>
      <c r="M45" s="53" t="e">
        <f>D45*VLOOKUP(E45,'Default values'!D20:K24,7,FALSE)</f>
        <v>#VALUE!</v>
      </c>
      <c r="N45" s="48">
        <f>C45</f>
        <v>5</v>
      </c>
    </row>
    <row r="46" spans="3:14" ht="15.75" thickBot="1">
      <c r="C46" s="133"/>
      <c r="D46" s="133"/>
      <c r="E46" s="133"/>
      <c r="F46" s="133"/>
      <c r="G46" s="133"/>
      <c r="H46" s="133"/>
      <c r="I46" s="133"/>
      <c r="J46" s="133"/>
      <c r="K46" s="133"/>
      <c r="L46" s="133"/>
      <c r="M46" s="133"/>
      <c r="N46" s="133"/>
    </row>
    <row r="47" spans="3:14" ht="15.75" thickBot="1">
      <c r="C47" s="347" t="s">
        <v>212</v>
      </c>
      <c r="D47" s="348"/>
      <c r="E47" s="349"/>
      <c r="F47" s="350" t="s">
        <v>197</v>
      </c>
      <c r="G47" s="351"/>
      <c r="H47" s="127" t="e">
        <f>SMALL(H41:H45,COUNTIF(H41:H45,0)+1)</f>
        <v>#VALUE!</v>
      </c>
      <c r="I47" s="126" t="s">
        <v>198</v>
      </c>
      <c r="J47" s="127" t="e">
        <f>VLOOKUP(H47,H41:N45,7,FALSE)</f>
        <v>#VALUE!</v>
      </c>
      <c r="K47" s="133"/>
      <c r="L47" s="133"/>
      <c r="M47" s="133"/>
      <c r="N47" s="133"/>
    </row>
    <row r="48" ht="15.75" thickBot="1"/>
    <row r="49" spans="3:14" ht="15">
      <c r="C49" s="133"/>
      <c r="D49" s="332" t="s">
        <v>74</v>
      </c>
      <c r="E49" s="333"/>
      <c r="F49" s="333"/>
      <c r="G49" s="333"/>
      <c r="H49" s="334"/>
      <c r="I49" s="357" t="s">
        <v>2</v>
      </c>
      <c r="J49" s="357"/>
      <c r="K49" s="357"/>
      <c r="L49" s="357"/>
      <c r="M49" s="357"/>
      <c r="N49" s="357"/>
    </row>
    <row r="50" spans="3:14" ht="15.75" thickBot="1">
      <c r="C50" s="133"/>
      <c r="D50" s="359" t="s">
        <v>189</v>
      </c>
      <c r="E50" s="286"/>
      <c r="F50" s="286"/>
      <c r="G50" s="286"/>
      <c r="H50" s="287"/>
      <c r="I50" s="357"/>
      <c r="J50" s="357"/>
      <c r="K50" s="357"/>
      <c r="L50" s="357"/>
      <c r="M50" s="357"/>
      <c r="N50" s="357"/>
    </row>
    <row r="51" spans="3:14" ht="15">
      <c r="C51" s="38" t="s">
        <v>183</v>
      </c>
      <c r="D51" s="3" t="s">
        <v>184</v>
      </c>
      <c r="E51" s="3" t="s">
        <v>185</v>
      </c>
      <c r="F51" s="3" t="s">
        <v>186</v>
      </c>
      <c r="G51" s="3" t="s">
        <v>187</v>
      </c>
      <c r="H51" s="124" t="s">
        <v>188</v>
      </c>
      <c r="I51" s="357"/>
      <c r="J51" s="357"/>
      <c r="K51" s="357"/>
      <c r="L51" s="357"/>
      <c r="M51" s="357"/>
      <c r="N51" s="357"/>
    </row>
    <row r="52" spans="3:14" ht="15">
      <c r="C52" s="5">
        <v>1</v>
      </c>
      <c r="D52" s="50" t="e">
        <f>C52*'Default values'!D30</f>
        <v>#VALUE!</v>
      </c>
      <c r="E52" s="50" t="e">
        <f>C52*'Default values'!D31</f>
        <v>#VALUE!</v>
      </c>
      <c r="F52" s="50" t="e">
        <f>C52*'Default values'!D32</f>
        <v>#VALUE!</v>
      </c>
      <c r="G52" s="50" t="e">
        <f>C52*'Default values'!D33</f>
        <v>#VALUE!</v>
      </c>
      <c r="H52" s="47" t="e">
        <f>C52*'Default values'!D34</f>
        <v>#VALUE!</v>
      </c>
      <c r="I52" s="357"/>
      <c r="J52" s="357"/>
      <c r="K52" s="357"/>
      <c r="L52" s="357"/>
      <c r="M52" s="357"/>
      <c r="N52" s="357"/>
    </row>
    <row r="53" spans="3:14" ht="15">
      <c r="C53" s="5">
        <v>2</v>
      </c>
      <c r="D53" s="50" t="e">
        <f>C53*D52</f>
        <v>#VALUE!</v>
      </c>
      <c r="E53" s="50" t="e">
        <f>C53*E52</f>
        <v>#VALUE!</v>
      </c>
      <c r="F53" s="50" t="e">
        <f>C53*F52</f>
        <v>#VALUE!</v>
      </c>
      <c r="G53" s="50" t="e">
        <f>C53*G52</f>
        <v>#VALUE!</v>
      </c>
      <c r="H53" s="47" t="e">
        <f>C53*H52</f>
        <v>#VALUE!</v>
      </c>
      <c r="I53" s="357"/>
      <c r="J53" s="357"/>
      <c r="K53" s="357"/>
      <c r="L53" s="357"/>
      <c r="M53" s="357"/>
      <c r="N53" s="357"/>
    </row>
    <row r="54" spans="3:14" ht="15">
      <c r="C54" s="5">
        <v>3</v>
      </c>
      <c r="D54" s="50" t="e">
        <f>C54*D52</f>
        <v>#VALUE!</v>
      </c>
      <c r="E54" s="50" t="e">
        <f>C54*E52</f>
        <v>#VALUE!</v>
      </c>
      <c r="F54" s="50" t="e">
        <f>C54*F52</f>
        <v>#VALUE!</v>
      </c>
      <c r="G54" s="50" t="e">
        <f>C54*G52</f>
        <v>#VALUE!</v>
      </c>
      <c r="H54" s="47" t="e">
        <f>C54*H52</f>
        <v>#VALUE!</v>
      </c>
      <c r="I54" s="357"/>
      <c r="J54" s="357"/>
      <c r="K54" s="357"/>
      <c r="L54" s="357"/>
      <c r="M54" s="357"/>
      <c r="N54" s="357"/>
    </row>
    <row r="55" spans="3:14" ht="15">
      <c r="C55" s="5">
        <v>4</v>
      </c>
      <c r="D55" s="50" t="e">
        <f>C55*D52</f>
        <v>#VALUE!</v>
      </c>
      <c r="E55" s="50" t="e">
        <f>C55*E52</f>
        <v>#VALUE!</v>
      </c>
      <c r="F55" s="50" t="e">
        <f>C55*F52</f>
        <v>#VALUE!</v>
      </c>
      <c r="G55" s="50" t="e">
        <f>C55*G52</f>
        <v>#VALUE!</v>
      </c>
      <c r="H55" s="47" t="e">
        <f>C55*H52</f>
        <v>#VALUE!</v>
      </c>
      <c r="I55" s="357"/>
      <c r="J55" s="357"/>
      <c r="K55" s="357"/>
      <c r="L55" s="357"/>
      <c r="M55" s="357"/>
      <c r="N55" s="357"/>
    </row>
    <row r="56" spans="3:14" ht="15">
      <c r="C56" s="5">
        <v>5</v>
      </c>
      <c r="D56" s="52" t="e">
        <f>C56*D52</f>
        <v>#VALUE!</v>
      </c>
      <c r="E56" s="52" t="e">
        <f>C56*E52</f>
        <v>#VALUE!</v>
      </c>
      <c r="F56" s="52" t="e">
        <f>C56*F52</f>
        <v>#VALUE!</v>
      </c>
      <c r="G56" s="52" t="e">
        <f>C56*G52</f>
        <v>#VALUE!</v>
      </c>
      <c r="H56" s="125" t="e">
        <f>C56*H52</f>
        <v>#VALUE!</v>
      </c>
      <c r="I56" s="357"/>
      <c r="J56" s="357"/>
      <c r="K56" s="357"/>
      <c r="L56" s="357"/>
      <c r="M56" s="357"/>
      <c r="N56" s="357"/>
    </row>
    <row r="57" spans="3:14" ht="15.75" thickBot="1">
      <c r="C57" s="15" t="s">
        <v>190</v>
      </c>
      <c r="D57" s="53" t="e">
        <f>IF('Default values'!$G$76&lt;D52,C52,IF('Default values'!$G$76&lt;D53,C53,IF('Default values'!$G$76&lt;D54,C54,IF('Default values'!$G$76&lt;D55,C55,IF('Default values'!$G$76&lt;D56,C56,0)))))</f>
        <v>#VALUE!</v>
      </c>
      <c r="E57" s="53" t="e">
        <f>IF('Default values'!$G$76&lt;E52,C52,IF('Default values'!$G$76&lt;E53,C53,IF('Default values'!$G$76&lt;E54,C54,IF('Default values'!$G$76&lt;E55,C55,IF('Default values'!$G$76&lt;E56,C56,0)))))</f>
        <v>#VALUE!</v>
      </c>
      <c r="F57" s="53" t="e">
        <f>IF('Default values'!$G$76&lt;F52,C52,IF('Default values'!$G$76&lt;F53,C53,IF('Default values'!$G$76&lt;F54,C54,IF('Default values'!$G$76&lt;F55,C55,IF('Default values'!$G$76&lt;F56,C56,0)))))</f>
        <v>#VALUE!</v>
      </c>
      <c r="G57" s="53" t="e">
        <f>IF('Default values'!$G$76&lt;G52,C52,IF('Default values'!$G$76&lt;G53,C53,IF('Default values'!$G$76&lt;G54,C54,IF('Default values'!$G$76&lt;G55,C55,IF('Default values'!$G$76&lt;G56,C56,0)))))</f>
        <v>#VALUE!</v>
      </c>
      <c r="H57" s="48" t="e">
        <f>IF('Default values'!$G$76&lt;H52,C52,IF('Default values'!$G$76&lt;H53,C53,IF('Default values'!$G$76&lt;H54,C54,IF('Default values'!$G$76&lt;H55,C55,IF('Default values'!$G$76&lt;H56,C56,0)))))</f>
        <v>#VALUE!</v>
      </c>
      <c r="I57" s="357"/>
      <c r="J57" s="357"/>
      <c r="K57" s="357"/>
      <c r="L57" s="357"/>
      <c r="M57" s="357"/>
      <c r="N57" s="357"/>
    </row>
    <row r="58" spans="3:14" ht="15.75" thickBot="1">
      <c r="C58" s="133"/>
      <c r="D58" s="133"/>
      <c r="E58" s="133"/>
      <c r="F58" s="133"/>
      <c r="G58" s="133"/>
      <c r="H58" s="133"/>
      <c r="I58" s="358"/>
      <c r="J58" s="358"/>
      <c r="K58" s="358"/>
      <c r="L58" s="358"/>
      <c r="M58" s="358"/>
      <c r="N58" s="358"/>
    </row>
    <row r="59" spans="3:14" ht="15.75" thickBot="1">
      <c r="C59" s="133"/>
      <c r="D59" s="352" t="s">
        <v>207</v>
      </c>
      <c r="E59" s="353"/>
      <c r="F59" s="353"/>
      <c r="G59" s="353"/>
      <c r="H59" s="353"/>
      <c r="I59" s="353"/>
      <c r="J59" s="353"/>
      <c r="K59" s="353"/>
      <c r="L59" s="353"/>
      <c r="M59" s="353"/>
      <c r="N59" s="354"/>
    </row>
    <row r="60" spans="3:14" ht="15">
      <c r="C60" s="355" t="s">
        <v>192</v>
      </c>
      <c r="D60" s="316" t="s">
        <v>193</v>
      </c>
      <c r="E60" s="316" t="s">
        <v>194</v>
      </c>
      <c r="F60" s="316" t="s">
        <v>195</v>
      </c>
      <c r="G60" s="316" t="str">
        <f>'Default values'!K27</f>
        <v>Throughput rate</v>
      </c>
      <c r="H60" s="316" t="str">
        <f>'Default values'!E27</f>
        <v>Capex</v>
      </c>
      <c r="I60" s="316" t="str">
        <f>'Default values'!F27</f>
        <v>Installation cost</v>
      </c>
      <c r="J60" s="316" t="str">
        <f>'Default values'!G27</f>
        <v>Maintenance cost</v>
      </c>
      <c r="K60" s="316" t="str">
        <f>'Default values'!H27</f>
        <v>Electrical power</v>
      </c>
      <c r="L60" s="316" t="str">
        <f>'Default values'!I27</f>
        <v>Water use</v>
      </c>
      <c r="M60" s="316" t="str">
        <f>'Default values'!J27</f>
        <v>% food to sewer</v>
      </c>
      <c r="N60" s="318" t="s">
        <v>196</v>
      </c>
    </row>
    <row r="61" spans="3:14" ht="15">
      <c r="C61" s="356"/>
      <c r="D61" s="316"/>
      <c r="E61" s="316"/>
      <c r="F61" s="316"/>
      <c r="G61" s="316"/>
      <c r="H61" s="316"/>
      <c r="I61" s="316"/>
      <c r="J61" s="316"/>
      <c r="K61" s="316"/>
      <c r="L61" s="316"/>
      <c r="M61" s="316"/>
      <c r="N61" s="318"/>
    </row>
    <row r="62" spans="3:14" ht="15">
      <c r="C62" s="356"/>
      <c r="D62" s="316"/>
      <c r="E62" s="3" t="s">
        <v>79</v>
      </c>
      <c r="F62" s="3" t="str">
        <f>E62</f>
        <v>kg/d</v>
      </c>
      <c r="G62" s="3" t="str">
        <f>'Default values'!K29</f>
        <v>kg/h</v>
      </c>
      <c r="H62" s="3" t="str">
        <f>'Default values'!E29</f>
        <v>£</v>
      </c>
      <c r="I62" s="3" t="str">
        <f>'Default values'!F29</f>
        <v>£</v>
      </c>
      <c r="J62" s="3" t="str">
        <f>'Default values'!G29</f>
        <v>£/a</v>
      </c>
      <c r="K62" s="3" t="str">
        <f>'Default values'!H29</f>
        <v>kW</v>
      </c>
      <c r="L62" s="3" t="str">
        <f>'Default values'!I29</f>
        <v>l/h</v>
      </c>
      <c r="M62" s="3" t="str">
        <f>'Default values'!J29</f>
        <v>% (w/w)</v>
      </c>
      <c r="N62" s="318"/>
    </row>
    <row r="63" spans="3:14" ht="15">
      <c r="C63" s="5">
        <v>1</v>
      </c>
      <c r="D63" s="50" t="e">
        <f>D57</f>
        <v>#VALUE!</v>
      </c>
      <c r="E63" s="50" t="e">
        <f>D52</f>
        <v>#VALUE!</v>
      </c>
      <c r="F63" s="50" t="e">
        <f>D63*E63</f>
        <v>#VALUE!</v>
      </c>
      <c r="G63" s="50" t="e">
        <f>D63*VLOOKUP(E63,'Default values'!D30:K34,8,FALSE)</f>
        <v>#VALUE!</v>
      </c>
      <c r="H63" s="50" t="e">
        <f>D63*VLOOKUP(E63,'Default values'!D30:K34,2,FALSE)</f>
        <v>#VALUE!</v>
      </c>
      <c r="I63" s="50" t="e">
        <f>D63*VLOOKUP(E63,'Default values'!D30:K34,3,FALSE)</f>
        <v>#VALUE!</v>
      </c>
      <c r="J63" s="50" t="e">
        <f>D63*VLOOKUP(E63,'Default values'!D20:K24,4,FALSE)</f>
        <v>#VALUE!</v>
      </c>
      <c r="K63" s="50" t="e">
        <f>D63*VLOOKUP(E63,'Default values'!D30:K34,5,FALSE)</f>
        <v>#VALUE!</v>
      </c>
      <c r="L63" s="50" t="e">
        <f>D63*VLOOKUP(E63,'Default values'!D20:K24,6,FALSE)</f>
        <v>#VALUE!</v>
      </c>
      <c r="M63" s="50" t="e">
        <f>D63*VLOOKUP(E63,'Default values'!D20:K24,7,FALSE)</f>
        <v>#VALUE!</v>
      </c>
      <c r="N63" s="47">
        <f>C63</f>
        <v>1</v>
      </c>
    </row>
    <row r="64" spans="3:14" ht="15">
      <c r="C64" s="5">
        <v>2</v>
      </c>
      <c r="D64" s="50" t="e">
        <f>E57</f>
        <v>#VALUE!</v>
      </c>
      <c r="E64" s="50" t="e">
        <f>E52</f>
        <v>#VALUE!</v>
      </c>
      <c r="F64" s="50" t="e">
        <f>D64*E64</f>
        <v>#VALUE!</v>
      </c>
      <c r="G64" s="50" t="e">
        <f>D64*VLOOKUP(E64,'Default values'!D30:K34,8,FALSE)</f>
        <v>#VALUE!</v>
      </c>
      <c r="H64" s="50" t="e">
        <f>D64*VLOOKUP(E64,'Default values'!D30:K34,2,FALSE)</f>
        <v>#VALUE!</v>
      </c>
      <c r="I64" s="50" t="e">
        <f>D64*VLOOKUP(E64,'Default values'!D30:K34,3,FALSE)</f>
        <v>#VALUE!</v>
      </c>
      <c r="J64" s="50" t="e">
        <f>D64*VLOOKUP(E64,'Default values'!D20:K24,4,FALSE)</f>
        <v>#VALUE!</v>
      </c>
      <c r="K64" s="50" t="e">
        <f>D64*VLOOKUP(E64,'Default values'!D30:K34,5,FALSE)</f>
        <v>#VALUE!</v>
      </c>
      <c r="L64" s="50" t="e">
        <f>D64*VLOOKUP(E64,'Default values'!D20:K24,6,FALSE)</f>
        <v>#VALUE!</v>
      </c>
      <c r="M64" s="50" t="e">
        <f>D64*VLOOKUP(E64,'Default values'!D20:K24,7,FALSE)</f>
        <v>#VALUE!</v>
      </c>
      <c r="N64" s="47">
        <f>C64</f>
        <v>2</v>
      </c>
    </row>
    <row r="65" spans="3:14" ht="15">
      <c r="C65" s="5">
        <v>3</v>
      </c>
      <c r="D65" s="50" t="e">
        <f>F57</f>
        <v>#VALUE!</v>
      </c>
      <c r="E65" s="50" t="e">
        <f>F52</f>
        <v>#VALUE!</v>
      </c>
      <c r="F65" s="50" t="e">
        <f>D65*E65</f>
        <v>#VALUE!</v>
      </c>
      <c r="G65" s="50" t="e">
        <f>D65*VLOOKUP(E65,'Default values'!D30:K34,8,FALSE)</f>
        <v>#VALUE!</v>
      </c>
      <c r="H65" s="50" t="e">
        <f>D65*VLOOKUP(E65,'Default values'!D30:K34,2,FALSE)</f>
        <v>#VALUE!</v>
      </c>
      <c r="I65" s="50" t="e">
        <f>D65*VLOOKUP(E65,'Default values'!D30:K34,3,FALSE)</f>
        <v>#VALUE!</v>
      </c>
      <c r="J65" s="50" t="e">
        <f>D65*VLOOKUP(E65,'Default values'!D20:K24,4,FALSE)</f>
        <v>#VALUE!</v>
      </c>
      <c r="K65" s="50" t="e">
        <f>D65*VLOOKUP(E65,'Default values'!D30:K34,5,FALSE)</f>
        <v>#VALUE!</v>
      </c>
      <c r="L65" s="50" t="e">
        <f>D65*VLOOKUP(E65,'Default values'!D20:K24,6,FALSE)</f>
        <v>#VALUE!</v>
      </c>
      <c r="M65" s="50" t="e">
        <f>D65*VLOOKUP(E65,'Default values'!D20:K24,7,FALSE)</f>
        <v>#VALUE!</v>
      </c>
      <c r="N65" s="47">
        <f>C65</f>
        <v>3</v>
      </c>
    </row>
    <row r="66" spans="3:14" ht="15">
      <c r="C66" s="5">
        <v>4</v>
      </c>
      <c r="D66" s="50" t="e">
        <f>G57</f>
        <v>#VALUE!</v>
      </c>
      <c r="E66" s="50" t="e">
        <f>G52</f>
        <v>#VALUE!</v>
      </c>
      <c r="F66" s="50" t="e">
        <f>D66*E66</f>
        <v>#VALUE!</v>
      </c>
      <c r="G66" s="50" t="e">
        <f>D66*VLOOKUP(E66,'Default values'!D30:K34,8,FALSE)</f>
        <v>#VALUE!</v>
      </c>
      <c r="H66" s="50" t="e">
        <f>D66*VLOOKUP(E66,'Default values'!D30:K34,2,FALSE)</f>
        <v>#VALUE!</v>
      </c>
      <c r="I66" s="50" t="e">
        <f>D66*VLOOKUP(E66,'Default values'!D30:K34,3,FALSE)</f>
        <v>#VALUE!</v>
      </c>
      <c r="J66" s="50" t="e">
        <f>D66*VLOOKUP(E66,'Default values'!D20:K24,4,FALSE)</f>
        <v>#VALUE!</v>
      </c>
      <c r="K66" s="50" t="e">
        <f>D66*VLOOKUP(E66,'Default values'!D30:K34,5,FALSE)</f>
        <v>#VALUE!</v>
      </c>
      <c r="L66" s="50" t="e">
        <f>D66*VLOOKUP(E66,'Default values'!D20:K24,6,FALSE)</f>
        <v>#VALUE!</v>
      </c>
      <c r="M66" s="50" t="e">
        <f>D66*VLOOKUP(E66,'Default values'!D20:K24,7,FALSE)</f>
        <v>#VALUE!</v>
      </c>
      <c r="N66" s="47">
        <f>C66</f>
        <v>4</v>
      </c>
    </row>
    <row r="67" spans="3:14" ht="15.75" thickBot="1">
      <c r="C67" s="6">
        <v>5</v>
      </c>
      <c r="D67" s="53" t="e">
        <f>H57</f>
        <v>#VALUE!</v>
      </c>
      <c r="E67" s="53" t="e">
        <f>H52</f>
        <v>#VALUE!</v>
      </c>
      <c r="F67" s="53" t="e">
        <f>D67*E67</f>
        <v>#VALUE!</v>
      </c>
      <c r="G67" s="53" t="e">
        <f>D67*VLOOKUP(E67,'Default values'!D30:K34,8,FALSE)</f>
        <v>#VALUE!</v>
      </c>
      <c r="H67" s="53" t="e">
        <f>D67*VLOOKUP(E67,'Default values'!D30:K34,2,FALSE)</f>
        <v>#VALUE!</v>
      </c>
      <c r="I67" s="53" t="e">
        <f>D67*VLOOKUP(E67,'Default values'!D30:K34,3,FALSE)</f>
        <v>#VALUE!</v>
      </c>
      <c r="J67" s="53" t="e">
        <f>D67*VLOOKUP(E67,'Default values'!D20:K24,4,FALSE)</f>
        <v>#VALUE!</v>
      </c>
      <c r="K67" s="53" t="e">
        <f>D67*VLOOKUP(E67,'Default values'!D30:K34,5,FALSE)</f>
        <v>#VALUE!</v>
      </c>
      <c r="L67" s="53" t="e">
        <f>D67*VLOOKUP(E67,'Default values'!D20:K24,6,FALSE)</f>
        <v>#VALUE!</v>
      </c>
      <c r="M67" s="53" t="e">
        <f>D67*VLOOKUP(E67,'Default values'!D20:K24,7,FALSE)</f>
        <v>#VALUE!</v>
      </c>
      <c r="N67" s="48">
        <f>C67</f>
        <v>5</v>
      </c>
    </row>
    <row r="68" spans="3:14" ht="15.75" thickBot="1">
      <c r="C68" s="133"/>
      <c r="D68" s="133"/>
      <c r="E68" s="133"/>
      <c r="F68" s="133"/>
      <c r="G68" s="133"/>
      <c r="H68" s="133"/>
      <c r="I68" s="133"/>
      <c r="J68" s="133"/>
      <c r="K68" s="133"/>
      <c r="L68" s="133"/>
      <c r="M68" s="133"/>
      <c r="N68" s="133"/>
    </row>
    <row r="69" spans="3:14" ht="15.75" thickBot="1">
      <c r="C69" s="347" t="s">
        <v>211</v>
      </c>
      <c r="D69" s="348"/>
      <c r="E69" s="349"/>
      <c r="F69" s="350" t="s">
        <v>197</v>
      </c>
      <c r="G69" s="351"/>
      <c r="H69" s="127" t="e">
        <f>SMALL(H63:H67,COUNTIF(H63:H67,0)+1)</f>
        <v>#VALUE!</v>
      </c>
      <c r="I69" s="126" t="s">
        <v>198</v>
      </c>
      <c r="J69" s="127" t="e">
        <f>VLOOKUP(H69,H63:N67,7,FALSE)</f>
        <v>#VALUE!</v>
      </c>
      <c r="K69" s="133"/>
      <c r="L69" s="133"/>
      <c r="M69" s="133"/>
      <c r="N69" s="133"/>
    </row>
    <row r="70" ht="15.75" thickBot="1"/>
    <row r="71" spans="3:14" ht="15">
      <c r="C71" s="133"/>
      <c r="D71" s="332" t="s">
        <v>75</v>
      </c>
      <c r="E71" s="333"/>
      <c r="F71" s="333"/>
      <c r="G71" s="333"/>
      <c r="H71" s="334"/>
      <c r="I71" s="357" t="s">
        <v>3</v>
      </c>
      <c r="J71" s="357"/>
      <c r="K71" s="357"/>
      <c r="L71" s="357"/>
      <c r="M71" s="357"/>
      <c r="N71" s="357"/>
    </row>
    <row r="72" spans="3:14" ht="15.75" thickBot="1">
      <c r="C72" s="133"/>
      <c r="D72" s="359" t="s">
        <v>189</v>
      </c>
      <c r="E72" s="286"/>
      <c r="F72" s="286"/>
      <c r="G72" s="286"/>
      <c r="H72" s="287"/>
      <c r="I72" s="357"/>
      <c r="J72" s="357"/>
      <c r="K72" s="357"/>
      <c r="L72" s="357"/>
      <c r="M72" s="357"/>
      <c r="N72" s="357"/>
    </row>
    <row r="73" spans="3:14" ht="15">
      <c r="C73" s="38" t="s">
        <v>183</v>
      </c>
      <c r="D73" s="3" t="s">
        <v>184</v>
      </c>
      <c r="E73" s="3" t="s">
        <v>185</v>
      </c>
      <c r="F73" s="3" t="s">
        <v>186</v>
      </c>
      <c r="G73" s="3" t="s">
        <v>187</v>
      </c>
      <c r="H73" s="124" t="s">
        <v>188</v>
      </c>
      <c r="I73" s="357"/>
      <c r="J73" s="357"/>
      <c r="K73" s="357"/>
      <c r="L73" s="357"/>
      <c r="M73" s="357"/>
      <c r="N73" s="357"/>
    </row>
    <row r="74" spans="3:14" ht="15">
      <c r="C74" s="5">
        <v>1</v>
      </c>
      <c r="D74" s="50" t="e">
        <f>C74*'Default values'!D40</f>
        <v>#VALUE!</v>
      </c>
      <c r="E74" s="50" t="e">
        <f>C74*'Default values'!D41</f>
        <v>#VALUE!</v>
      </c>
      <c r="F74" s="50" t="e">
        <f>C74*'Default values'!D42</f>
        <v>#VALUE!</v>
      </c>
      <c r="G74" s="50" t="e">
        <f>C74*'Default values'!D43</f>
        <v>#VALUE!</v>
      </c>
      <c r="H74" s="47" t="e">
        <f>C74*'Default values'!D44</f>
        <v>#VALUE!</v>
      </c>
      <c r="I74" s="357"/>
      <c r="J74" s="357"/>
      <c r="K74" s="357"/>
      <c r="L74" s="357"/>
      <c r="M74" s="357"/>
      <c r="N74" s="357"/>
    </row>
    <row r="75" spans="3:14" ht="15">
      <c r="C75" s="5">
        <v>2</v>
      </c>
      <c r="D75" s="50" t="e">
        <f>C75*D74</f>
        <v>#VALUE!</v>
      </c>
      <c r="E75" s="50" t="e">
        <f>C75*E74</f>
        <v>#VALUE!</v>
      </c>
      <c r="F75" s="50" t="e">
        <f>C75*F74</f>
        <v>#VALUE!</v>
      </c>
      <c r="G75" s="50" t="e">
        <f>C75*G74</f>
        <v>#VALUE!</v>
      </c>
      <c r="H75" s="47" t="e">
        <f>C75*H74</f>
        <v>#VALUE!</v>
      </c>
      <c r="I75" s="357"/>
      <c r="J75" s="357"/>
      <c r="K75" s="357"/>
      <c r="L75" s="357"/>
      <c r="M75" s="357"/>
      <c r="N75" s="357"/>
    </row>
    <row r="76" spans="3:14" ht="15">
      <c r="C76" s="5">
        <v>3</v>
      </c>
      <c r="D76" s="50" t="e">
        <f>C76*D74</f>
        <v>#VALUE!</v>
      </c>
      <c r="E76" s="50" t="e">
        <f>C76*E74</f>
        <v>#VALUE!</v>
      </c>
      <c r="F76" s="50" t="e">
        <f>C76*F74</f>
        <v>#VALUE!</v>
      </c>
      <c r="G76" s="50" t="e">
        <f>C76*G74</f>
        <v>#VALUE!</v>
      </c>
      <c r="H76" s="47" t="e">
        <f>C76*H74</f>
        <v>#VALUE!</v>
      </c>
      <c r="I76" s="357"/>
      <c r="J76" s="357"/>
      <c r="K76" s="357"/>
      <c r="L76" s="357"/>
      <c r="M76" s="357"/>
      <c r="N76" s="357"/>
    </row>
    <row r="77" spans="3:14" ht="15">
      <c r="C77" s="5">
        <v>4</v>
      </c>
      <c r="D77" s="50" t="e">
        <f>C77*D74</f>
        <v>#VALUE!</v>
      </c>
      <c r="E77" s="50" t="e">
        <f>C77*E74</f>
        <v>#VALUE!</v>
      </c>
      <c r="F77" s="50" t="e">
        <f>C77*F74</f>
        <v>#VALUE!</v>
      </c>
      <c r="G77" s="50" t="e">
        <f>C77*G74</f>
        <v>#VALUE!</v>
      </c>
      <c r="H77" s="47" t="e">
        <f>C77*H74</f>
        <v>#VALUE!</v>
      </c>
      <c r="I77" s="357"/>
      <c r="J77" s="357"/>
      <c r="K77" s="357"/>
      <c r="L77" s="357"/>
      <c r="M77" s="357"/>
      <c r="N77" s="357"/>
    </row>
    <row r="78" spans="3:14" ht="15">
      <c r="C78" s="5">
        <v>5</v>
      </c>
      <c r="D78" s="52" t="e">
        <f>C78*D74</f>
        <v>#VALUE!</v>
      </c>
      <c r="E78" s="52" t="e">
        <f>C78*E74</f>
        <v>#VALUE!</v>
      </c>
      <c r="F78" s="52" t="e">
        <f>C78*F74</f>
        <v>#VALUE!</v>
      </c>
      <c r="G78" s="52" t="e">
        <f>C78*G74</f>
        <v>#VALUE!</v>
      </c>
      <c r="H78" s="125" t="e">
        <f>C78*H74</f>
        <v>#VALUE!</v>
      </c>
      <c r="I78" s="357"/>
      <c r="J78" s="357"/>
      <c r="K78" s="357"/>
      <c r="L78" s="357"/>
      <c r="M78" s="357"/>
      <c r="N78" s="357"/>
    </row>
    <row r="79" spans="3:14" ht="15.75" thickBot="1">
      <c r="C79" s="15" t="s">
        <v>190</v>
      </c>
      <c r="D79" s="53" t="e">
        <f>IF('Default values'!$G$76&lt;D74,C74,IF('Default values'!$G$76&lt;D75,C75,IF('Default values'!$G$76&lt;D76,C76,IF('Default values'!$G$76&lt;D77,C77,IF('Default values'!$G$76&lt;D78,C78,0)))))</f>
        <v>#VALUE!</v>
      </c>
      <c r="E79" s="53" t="e">
        <f>IF('Default values'!$G$76&lt;E74,C74,IF('Default values'!$G$76&lt;E75,C75,IF('Default values'!$G$76&lt;E76,C76,IF('Default values'!$G$76&lt;E77,C77,IF('Default values'!$G$76&lt;E78,C78,0)))))</f>
        <v>#VALUE!</v>
      </c>
      <c r="F79" s="53" t="e">
        <f>IF('Default values'!$G$76&lt;F74,C74,IF('Default values'!$G$76&lt;F75,C75,IF('Default values'!$G$76&lt;F76,C76,IF('Default values'!$G$76&lt;F77,C77,IF('Default values'!$G$76&lt;F78,C78,0)))))</f>
        <v>#VALUE!</v>
      </c>
      <c r="G79" s="53" t="e">
        <f>IF('Default values'!$G$76&lt;G74,C74,IF('Default values'!$G$76&lt;G75,C75,IF('Default values'!$G$76&lt;G76,C76,IF('Default values'!$G$76&lt;G77,C77,IF('Default values'!$G$76&lt;G78,C78,0)))))</f>
        <v>#VALUE!</v>
      </c>
      <c r="H79" s="48" t="e">
        <f>IF('Default values'!$G$76&lt;H74,C74,IF('Default values'!$G$76&lt;H75,C75,IF('Default values'!$G$76&lt;H76,C76,IF('Default values'!$G$76&lt;H77,C77,IF('Default values'!$G$76&lt;H78,C78,0)))))</f>
        <v>#VALUE!</v>
      </c>
      <c r="I79" s="357"/>
      <c r="J79" s="357"/>
      <c r="K79" s="357"/>
      <c r="L79" s="357"/>
      <c r="M79" s="357"/>
      <c r="N79" s="357"/>
    </row>
    <row r="80" spans="3:14" ht="15.75" thickBot="1">
      <c r="C80" s="133"/>
      <c r="D80" s="133"/>
      <c r="E80" s="133"/>
      <c r="F80" s="133"/>
      <c r="G80" s="133"/>
      <c r="H80" s="133"/>
      <c r="I80" s="358"/>
      <c r="J80" s="358"/>
      <c r="K80" s="358"/>
      <c r="L80" s="358"/>
      <c r="M80" s="358"/>
      <c r="N80" s="358"/>
    </row>
    <row r="81" spans="3:14" ht="15.75" thickBot="1">
      <c r="C81" s="133"/>
      <c r="D81" s="352" t="s">
        <v>209</v>
      </c>
      <c r="E81" s="353"/>
      <c r="F81" s="353"/>
      <c r="G81" s="353"/>
      <c r="H81" s="353"/>
      <c r="I81" s="353"/>
      <c r="J81" s="353"/>
      <c r="K81" s="353"/>
      <c r="L81" s="353"/>
      <c r="M81" s="353"/>
      <c r="N81" s="354"/>
    </row>
    <row r="82" spans="3:14" ht="15">
      <c r="C82" s="355" t="s">
        <v>192</v>
      </c>
      <c r="D82" s="316" t="s">
        <v>193</v>
      </c>
      <c r="E82" s="316" t="s">
        <v>194</v>
      </c>
      <c r="F82" s="316" t="s">
        <v>195</v>
      </c>
      <c r="G82" s="316" t="str">
        <f>'Default values'!K37</f>
        <v>Throughput rate</v>
      </c>
      <c r="H82" s="316" t="str">
        <f>'Default values'!E37</f>
        <v>Capex</v>
      </c>
      <c r="I82" s="316" t="str">
        <f>'Default values'!F37</f>
        <v>Installation cost</v>
      </c>
      <c r="J82" s="316" t="str">
        <f>'Default values'!G37</f>
        <v>Maintenance cost</v>
      </c>
      <c r="K82" s="316" t="str">
        <f>'Default values'!H37</f>
        <v>Electrical power</v>
      </c>
      <c r="L82" s="316" t="str">
        <f>'Default values'!I37</f>
        <v>Water use</v>
      </c>
      <c r="M82" s="316" t="str">
        <f>'Default values'!J37</f>
        <v>% food to sewer</v>
      </c>
      <c r="N82" s="318" t="s">
        <v>196</v>
      </c>
    </row>
    <row r="83" spans="3:14" ht="15">
      <c r="C83" s="356"/>
      <c r="D83" s="316"/>
      <c r="E83" s="316"/>
      <c r="F83" s="316"/>
      <c r="G83" s="316"/>
      <c r="H83" s="316"/>
      <c r="I83" s="316"/>
      <c r="J83" s="316"/>
      <c r="K83" s="316"/>
      <c r="L83" s="316"/>
      <c r="M83" s="316"/>
      <c r="N83" s="318"/>
    </row>
    <row r="84" spans="3:14" ht="15">
      <c r="C84" s="356"/>
      <c r="D84" s="316"/>
      <c r="E84" s="3" t="s">
        <v>79</v>
      </c>
      <c r="F84" s="3" t="str">
        <f>E84</f>
        <v>kg/d</v>
      </c>
      <c r="G84" s="3" t="str">
        <f>'Default values'!K39</f>
        <v>kg/h</v>
      </c>
      <c r="H84" s="3" t="str">
        <f>'Default values'!E39</f>
        <v>£</v>
      </c>
      <c r="I84" s="3" t="str">
        <f>'Default values'!F39</f>
        <v>£</v>
      </c>
      <c r="J84" s="3" t="str">
        <f>'Default values'!G39</f>
        <v>£/a</v>
      </c>
      <c r="K84" s="3" t="str">
        <f>'Default values'!H39</f>
        <v>kW</v>
      </c>
      <c r="L84" s="3" t="str">
        <f>'Default values'!I39</f>
        <v>l/h</v>
      </c>
      <c r="M84" s="3" t="str">
        <f>'Default values'!J39</f>
        <v>% (w/w)</v>
      </c>
      <c r="N84" s="318"/>
    </row>
    <row r="85" spans="3:14" ht="15">
      <c r="C85" s="5">
        <v>1</v>
      </c>
      <c r="D85" s="50" t="e">
        <f>D79</f>
        <v>#VALUE!</v>
      </c>
      <c r="E85" s="50" t="e">
        <f>D74</f>
        <v>#VALUE!</v>
      </c>
      <c r="F85" s="50" t="e">
        <f>D85*E85</f>
        <v>#VALUE!</v>
      </c>
      <c r="G85" s="50" t="e">
        <f>D85*VLOOKUP(E85,'Default values'!D40:K44,8,FALSE)</f>
        <v>#VALUE!</v>
      </c>
      <c r="H85" s="50" t="e">
        <f>D85*VLOOKUP(E85,'Default values'!D40:K44,2,FALSE)</f>
        <v>#VALUE!</v>
      </c>
      <c r="I85" s="50" t="e">
        <f>D85*VLOOKUP(E85,'Default values'!D40:K44,3,FALSE)</f>
        <v>#VALUE!</v>
      </c>
      <c r="J85" s="50" t="e">
        <f>D85*VLOOKUP(E85,'Default values'!D40:K44,4,FALSE)</f>
        <v>#VALUE!</v>
      </c>
      <c r="K85" s="50" t="e">
        <f>D85*VLOOKUP(E85,'Default values'!D40:K44,5,FALSE)</f>
        <v>#VALUE!</v>
      </c>
      <c r="L85" s="50" t="e">
        <f>D85*VLOOKUP(E85,'Default values'!D40:K44,6,FALSE)</f>
        <v>#VALUE!</v>
      </c>
      <c r="M85" s="50" t="e">
        <f>D85*VLOOKUP(E85,'Default values'!D40:K44,7,FALSE)</f>
        <v>#VALUE!</v>
      </c>
      <c r="N85" s="47">
        <f>C85</f>
        <v>1</v>
      </c>
    </row>
    <row r="86" spans="3:14" ht="15">
      <c r="C86" s="5">
        <v>2</v>
      </c>
      <c r="D86" s="50" t="e">
        <f>E79</f>
        <v>#VALUE!</v>
      </c>
      <c r="E86" s="50" t="e">
        <f>E74</f>
        <v>#VALUE!</v>
      </c>
      <c r="F86" s="50" t="e">
        <f>D86*E86</f>
        <v>#VALUE!</v>
      </c>
      <c r="G86" s="50" t="e">
        <f>D86*VLOOKUP(E86,'Default values'!D40:K44,8,FALSE)</f>
        <v>#VALUE!</v>
      </c>
      <c r="H86" s="50" t="e">
        <f>D86*VLOOKUP(E86,'Default values'!D40:K44,2,FALSE)</f>
        <v>#VALUE!</v>
      </c>
      <c r="I86" s="50" t="e">
        <f>D86*VLOOKUP(E86,'Default values'!D40:K44,3,FALSE)</f>
        <v>#VALUE!</v>
      </c>
      <c r="J86" s="50" t="e">
        <f>D86*VLOOKUP(E86,'Default values'!D40:K44,4,FALSE)</f>
        <v>#VALUE!</v>
      </c>
      <c r="K86" s="50" t="e">
        <f>D86*VLOOKUP(E86,'Default values'!D40:K44,5,FALSE)</f>
        <v>#VALUE!</v>
      </c>
      <c r="L86" s="50" t="e">
        <f>D86*VLOOKUP(E86,'Default values'!D40:K44,6,FALSE)</f>
        <v>#VALUE!</v>
      </c>
      <c r="M86" s="50" t="e">
        <f>D86*VLOOKUP(E86,'Default values'!D40:K44,7,FALSE)</f>
        <v>#VALUE!</v>
      </c>
      <c r="N86" s="47">
        <f>C86</f>
        <v>2</v>
      </c>
    </row>
    <row r="87" spans="3:14" ht="15">
      <c r="C87" s="5">
        <v>3</v>
      </c>
      <c r="D87" s="50" t="e">
        <f>F79</f>
        <v>#VALUE!</v>
      </c>
      <c r="E87" s="50" t="e">
        <f>F74</f>
        <v>#VALUE!</v>
      </c>
      <c r="F87" s="50" t="e">
        <f>D87*E87</f>
        <v>#VALUE!</v>
      </c>
      <c r="G87" s="50" t="e">
        <f>D87*VLOOKUP(E87,'Default values'!D40:K44,8,FALSE)</f>
        <v>#VALUE!</v>
      </c>
      <c r="H87" s="50" t="e">
        <f>D87*VLOOKUP(E87,'Default values'!D40:K44,2,FALSE)</f>
        <v>#VALUE!</v>
      </c>
      <c r="I87" s="50" t="e">
        <f>D87*VLOOKUP(E87,'Default values'!D40:K44,3,FALSE)</f>
        <v>#VALUE!</v>
      </c>
      <c r="J87" s="50" t="e">
        <f>D87*VLOOKUP(E87,'Default values'!D40:K44,4,FALSE)</f>
        <v>#VALUE!</v>
      </c>
      <c r="K87" s="50" t="e">
        <f>D87*VLOOKUP(E87,'Default values'!D40:K44,5,FALSE)</f>
        <v>#VALUE!</v>
      </c>
      <c r="L87" s="50" t="e">
        <f>D87*VLOOKUP(E87,'Default values'!D40:K44,6,FALSE)</f>
        <v>#VALUE!</v>
      </c>
      <c r="M87" s="50" t="e">
        <f>D87*VLOOKUP(E87,'Default values'!D40:K44,7,FALSE)</f>
        <v>#VALUE!</v>
      </c>
      <c r="N87" s="47">
        <f>C87</f>
        <v>3</v>
      </c>
    </row>
    <row r="88" spans="3:14" ht="15">
      <c r="C88" s="5">
        <v>4</v>
      </c>
      <c r="D88" s="50" t="e">
        <f>G79</f>
        <v>#VALUE!</v>
      </c>
      <c r="E88" s="50" t="e">
        <f>G74</f>
        <v>#VALUE!</v>
      </c>
      <c r="F88" s="50" t="e">
        <f>D88*E88</f>
        <v>#VALUE!</v>
      </c>
      <c r="G88" s="50" t="e">
        <f>D88*VLOOKUP(E88,'Default values'!D40:K44,8,FALSE)</f>
        <v>#VALUE!</v>
      </c>
      <c r="H88" s="50" t="e">
        <f>D88*VLOOKUP(E88,'Default values'!D40:K44,2,FALSE)</f>
        <v>#VALUE!</v>
      </c>
      <c r="I88" s="50" t="e">
        <f>D88*VLOOKUP(E88,'Default values'!D40:K44,3,FALSE)</f>
        <v>#VALUE!</v>
      </c>
      <c r="J88" s="50" t="e">
        <f>D88*VLOOKUP(E88,'Default values'!D40:K44,4,FALSE)</f>
        <v>#VALUE!</v>
      </c>
      <c r="K88" s="50" t="e">
        <f>D88*VLOOKUP(E88,'Default values'!D40:K44,5,FALSE)</f>
        <v>#VALUE!</v>
      </c>
      <c r="L88" s="50" t="e">
        <f>D88*VLOOKUP(E88,'Default values'!D40:K44,6,FALSE)</f>
        <v>#VALUE!</v>
      </c>
      <c r="M88" s="50" t="e">
        <f>D88*VLOOKUP(E88,'Default values'!D40:K44,7,FALSE)</f>
        <v>#VALUE!</v>
      </c>
      <c r="N88" s="47">
        <f>C88</f>
        <v>4</v>
      </c>
    </row>
    <row r="89" spans="3:14" ht="15.75" thickBot="1">
      <c r="C89" s="6">
        <v>5</v>
      </c>
      <c r="D89" s="53" t="e">
        <f>H79</f>
        <v>#VALUE!</v>
      </c>
      <c r="E89" s="53" t="e">
        <f>H74</f>
        <v>#VALUE!</v>
      </c>
      <c r="F89" s="53" t="e">
        <f>D89*E89</f>
        <v>#VALUE!</v>
      </c>
      <c r="G89" s="53" t="e">
        <f>D89*VLOOKUP(E89,'Default values'!D40:K44,8,FALSE)</f>
        <v>#VALUE!</v>
      </c>
      <c r="H89" s="53" t="e">
        <f>D89*VLOOKUP(E89,'Default values'!D40:K44,2,FALSE)</f>
        <v>#VALUE!</v>
      </c>
      <c r="I89" s="53" t="e">
        <f>D89*VLOOKUP(E89,'Default values'!D40:K44,3,FALSE)</f>
        <v>#VALUE!</v>
      </c>
      <c r="J89" s="53" t="e">
        <f>D89*VLOOKUP(E89,'Default values'!D40:K44,4,FALSE)</f>
        <v>#VALUE!</v>
      </c>
      <c r="K89" s="53" t="e">
        <f>D89*VLOOKUP(E89,'Default values'!D40:K44,5,FALSE)</f>
        <v>#VALUE!</v>
      </c>
      <c r="L89" s="53" t="e">
        <f>D89*VLOOKUP(E89,'Default values'!D40:K44,6,FALSE)</f>
        <v>#VALUE!</v>
      </c>
      <c r="M89" s="53" t="e">
        <f>D89*VLOOKUP(E89,'Default values'!D40:K44,7,FALSE)</f>
        <v>#VALUE!</v>
      </c>
      <c r="N89" s="48">
        <f>C89</f>
        <v>5</v>
      </c>
    </row>
    <row r="90" spans="3:14" ht="15.75" thickBot="1">
      <c r="C90" s="133"/>
      <c r="D90" s="133"/>
      <c r="E90" s="133"/>
      <c r="F90" s="133"/>
      <c r="G90" s="133"/>
      <c r="H90" s="133"/>
      <c r="I90" s="133"/>
      <c r="J90" s="133"/>
      <c r="K90" s="133"/>
      <c r="L90" s="133"/>
      <c r="M90" s="133"/>
      <c r="N90" s="133"/>
    </row>
    <row r="91" spans="3:14" ht="15.75" thickBot="1">
      <c r="C91" s="347" t="s">
        <v>210</v>
      </c>
      <c r="D91" s="348"/>
      <c r="E91" s="349"/>
      <c r="F91" s="350" t="s">
        <v>197</v>
      </c>
      <c r="G91" s="351"/>
      <c r="H91" s="127" t="e">
        <f>SMALL(H85:H89,COUNTIF(H85:H89,0)+1)</f>
        <v>#VALUE!</v>
      </c>
      <c r="I91" s="126" t="s">
        <v>198</v>
      </c>
      <c r="J91" s="127" t="e">
        <f>VLOOKUP(H91,H85:N89,7,FALSE)</f>
        <v>#VALUE!</v>
      </c>
      <c r="K91" s="133"/>
      <c r="L91" s="133"/>
      <c r="M91" s="133"/>
      <c r="N91" s="133"/>
    </row>
    <row r="92" ht="15.75" thickBot="1"/>
    <row r="93" spans="3:14" ht="15">
      <c r="C93" s="133"/>
      <c r="D93" s="332" t="s">
        <v>76</v>
      </c>
      <c r="E93" s="333"/>
      <c r="F93" s="333"/>
      <c r="G93" s="333"/>
      <c r="H93" s="334"/>
      <c r="I93" s="357" t="s">
        <v>4</v>
      </c>
      <c r="J93" s="357"/>
      <c r="K93" s="357"/>
      <c r="L93" s="357"/>
      <c r="M93" s="357"/>
      <c r="N93" s="357"/>
    </row>
    <row r="94" spans="3:14" ht="15.75" thickBot="1">
      <c r="C94" s="133"/>
      <c r="D94" s="359" t="s">
        <v>189</v>
      </c>
      <c r="E94" s="286"/>
      <c r="F94" s="286"/>
      <c r="G94" s="286"/>
      <c r="H94" s="287"/>
      <c r="I94" s="357"/>
      <c r="J94" s="357"/>
      <c r="K94" s="357"/>
      <c r="L94" s="357"/>
      <c r="M94" s="357"/>
      <c r="N94" s="357"/>
    </row>
    <row r="95" spans="3:14" ht="15">
      <c r="C95" s="38" t="s">
        <v>183</v>
      </c>
      <c r="D95" s="3" t="s">
        <v>184</v>
      </c>
      <c r="E95" s="3" t="s">
        <v>185</v>
      </c>
      <c r="F95" s="3" t="s">
        <v>186</v>
      </c>
      <c r="G95" s="3" t="s">
        <v>187</v>
      </c>
      <c r="H95" s="124" t="s">
        <v>188</v>
      </c>
      <c r="I95" s="357"/>
      <c r="J95" s="357"/>
      <c r="K95" s="357"/>
      <c r="L95" s="357"/>
      <c r="M95" s="357"/>
      <c r="N95" s="357"/>
    </row>
    <row r="96" spans="3:14" ht="15">
      <c r="C96" s="5">
        <v>1</v>
      </c>
      <c r="D96" s="50">
        <f>C96*'Default values'!D50</f>
        <v>30</v>
      </c>
      <c r="E96" s="50">
        <f>C96*'Default values'!D51</f>
        <v>50</v>
      </c>
      <c r="F96" s="50">
        <f>C96*'Default values'!D52</f>
        <v>100</v>
      </c>
      <c r="G96" s="50">
        <f>C96*'Default values'!D53</f>
        <v>300</v>
      </c>
      <c r="H96" s="47">
        <f>C96*'Default values'!D54</f>
        <v>600</v>
      </c>
      <c r="I96" s="357"/>
      <c r="J96" s="357"/>
      <c r="K96" s="357"/>
      <c r="L96" s="357"/>
      <c r="M96" s="357"/>
      <c r="N96" s="357"/>
    </row>
    <row r="97" spans="3:14" ht="15">
      <c r="C97" s="5">
        <v>2</v>
      </c>
      <c r="D97" s="50">
        <f>C97*D96</f>
        <v>60</v>
      </c>
      <c r="E97" s="50">
        <f>C97*E96</f>
        <v>100</v>
      </c>
      <c r="F97" s="50">
        <f>C97*F96</f>
        <v>200</v>
      </c>
      <c r="G97" s="50">
        <f>C97*G96</f>
        <v>600</v>
      </c>
      <c r="H97" s="47">
        <f>C97*H96</f>
        <v>1200</v>
      </c>
      <c r="I97" s="357"/>
      <c r="J97" s="357"/>
      <c r="K97" s="357"/>
      <c r="L97" s="357"/>
      <c r="M97" s="357"/>
      <c r="N97" s="357"/>
    </row>
    <row r="98" spans="3:14" ht="15">
      <c r="C98" s="5">
        <v>3</v>
      </c>
      <c r="D98" s="50">
        <f>C98*D96</f>
        <v>90</v>
      </c>
      <c r="E98" s="50">
        <f>C98*E96</f>
        <v>150</v>
      </c>
      <c r="F98" s="50">
        <f>C98*F96</f>
        <v>300</v>
      </c>
      <c r="G98" s="50">
        <f>C98*G96</f>
        <v>900</v>
      </c>
      <c r="H98" s="47">
        <f>C98*H96</f>
        <v>1800</v>
      </c>
      <c r="I98" s="357"/>
      <c r="J98" s="357"/>
      <c r="K98" s="357"/>
      <c r="L98" s="357"/>
      <c r="M98" s="357"/>
      <c r="N98" s="357"/>
    </row>
    <row r="99" spans="3:14" ht="15">
      <c r="C99" s="5">
        <v>4</v>
      </c>
      <c r="D99" s="50">
        <f>C99*D96</f>
        <v>120</v>
      </c>
      <c r="E99" s="50">
        <f>C99*E96</f>
        <v>200</v>
      </c>
      <c r="F99" s="50">
        <f>C99*F96</f>
        <v>400</v>
      </c>
      <c r="G99" s="50">
        <f>C99*G96</f>
        <v>1200</v>
      </c>
      <c r="H99" s="47">
        <f>C99*H96</f>
        <v>2400</v>
      </c>
      <c r="I99" s="357"/>
      <c r="J99" s="357"/>
      <c r="K99" s="357"/>
      <c r="L99" s="357"/>
      <c r="M99" s="357"/>
      <c r="N99" s="357"/>
    </row>
    <row r="100" spans="3:14" ht="15">
      <c r="C100" s="5">
        <v>5</v>
      </c>
      <c r="D100" s="52">
        <f>C100*D96</f>
        <v>150</v>
      </c>
      <c r="E100" s="52">
        <f>C100*E96</f>
        <v>250</v>
      </c>
      <c r="F100" s="52">
        <f>C100*F96</f>
        <v>500</v>
      </c>
      <c r="G100" s="52">
        <f>C100*G96</f>
        <v>1500</v>
      </c>
      <c r="H100" s="125">
        <f>C100*H96</f>
        <v>3000</v>
      </c>
      <c r="I100" s="357"/>
      <c r="J100" s="357"/>
      <c r="K100" s="357"/>
      <c r="L100" s="357"/>
      <c r="M100" s="357"/>
      <c r="N100" s="357"/>
    </row>
    <row r="101" spans="3:14" ht="15.75" thickBot="1">
      <c r="C101" s="15" t="s">
        <v>190</v>
      </c>
      <c r="D101" s="53">
        <f>IF('Default values'!$G$76&lt;D96,C96,IF('Default values'!$G$76&lt;D97,C97,IF('Default values'!$G$76&lt;D98,C98,IF('Default values'!$G$76&lt;D99,C99,IF('Default values'!$G$76&lt;D100,C100,0)))))</f>
        <v>1</v>
      </c>
      <c r="E101" s="53">
        <f>IF('Default values'!$G$76&lt;E96,C96,IF('Default values'!$G$76&lt;E97,C97,IF('Default values'!$G$76&lt;E98,C98,IF('Default values'!$G$76&lt;E99,C99,IF('Default values'!$G$76&lt;E100,C100,0)))))</f>
        <v>1</v>
      </c>
      <c r="F101" s="53">
        <f>IF('Default values'!$G$76&lt;F96,C96,IF('Default values'!$G$76&lt;F97,C97,IF('Default values'!$G$76&lt;F98,C98,IF('Default values'!$G$76&lt;F99,C99,IF('Default values'!$G$76&lt;F100,C100,0)))))</f>
        <v>1</v>
      </c>
      <c r="G101" s="53">
        <f>IF('Default values'!$G$76&lt;G96,C96,IF('Default values'!$G$76&lt;G97,C97,IF('Default values'!$G$76&lt;G98,C98,IF('Default values'!$G$76&lt;G99,C99,IF('Default values'!$G$76&lt;G100,C100,0)))))</f>
        <v>1</v>
      </c>
      <c r="H101" s="48">
        <f>IF('Default values'!$G$76&lt;H96,C96,IF('Default values'!$G$76&lt;H97,C97,IF('Default values'!$G$76&lt;H98,C98,IF('Default values'!$G$76&lt;H99,C99,IF('Default values'!$G$76&lt;H100,C100,0)))))</f>
        <v>1</v>
      </c>
      <c r="I101" s="357"/>
      <c r="J101" s="357"/>
      <c r="K101" s="357"/>
      <c r="L101" s="357"/>
      <c r="M101" s="357"/>
      <c r="N101" s="357"/>
    </row>
    <row r="102" spans="3:14" ht="15.75" thickBot="1">
      <c r="C102" s="133"/>
      <c r="D102" s="133"/>
      <c r="E102" s="133"/>
      <c r="F102" s="133"/>
      <c r="G102" s="133"/>
      <c r="H102" s="133"/>
      <c r="I102" s="358"/>
      <c r="J102" s="358"/>
      <c r="K102" s="358"/>
      <c r="L102" s="358"/>
      <c r="M102" s="358"/>
      <c r="N102" s="358"/>
    </row>
    <row r="103" spans="3:14" ht="15.75" thickBot="1">
      <c r="C103" s="133"/>
      <c r="D103" s="352" t="s">
        <v>213</v>
      </c>
      <c r="E103" s="353"/>
      <c r="F103" s="353"/>
      <c r="G103" s="353"/>
      <c r="H103" s="353"/>
      <c r="I103" s="353"/>
      <c r="J103" s="353"/>
      <c r="K103" s="353"/>
      <c r="L103" s="353"/>
      <c r="M103" s="353"/>
      <c r="N103" s="354"/>
    </row>
    <row r="104" spans="3:14" ht="15">
      <c r="C104" s="355" t="s">
        <v>192</v>
      </c>
      <c r="D104" s="316" t="s">
        <v>193</v>
      </c>
      <c r="E104" s="316" t="s">
        <v>194</v>
      </c>
      <c r="F104" s="316" t="s">
        <v>195</v>
      </c>
      <c r="G104" s="316" t="str">
        <f>'Default values'!K47</f>
        <v>Throughput rate</v>
      </c>
      <c r="H104" s="316" t="str">
        <f>'Default values'!E47</f>
        <v>Capex</v>
      </c>
      <c r="I104" s="316" t="str">
        <f>'Default values'!F47</f>
        <v>Installation cost</v>
      </c>
      <c r="J104" s="316" t="str">
        <f>'Default values'!G47</f>
        <v>Maintenance cost</v>
      </c>
      <c r="K104" s="316" t="str">
        <f>'Default values'!H47</f>
        <v>Electrical power</v>
      </c>
      <c r="L104" s="316" t="str">
        <f>'Default values'!I47</f>
        <v>Water use</v>
      </c>
      <c r="M104" s="316" t="str">
        <f>'Default values'!J47</f>
        <v>% food to atmosphere</v>
      </c>
      <c r="N104" s="318" t="s">
        <v>196</v>
      </c>
    </row>
    <row r="105" spans="3:14" ht="15">
      <c r="C105" s="356"/>
      <c r="D105" s="316"/>
      <c r="E105" s="316"/>
      <c r="F105" s="316"/>
      <c r="G105" s="316"/>
      <c r="H105" s="316"/>
      <c r="I105" s="316"/>
      <c r="J105" s="316"/>
      <c r="K105" s="316"/>
      <c r="L105" s="316"/>
      <c r="M105" s="316"/>
      <c r="N105" s="318"/>
    </row>
    <row r="106" spans="3:14" ht="15">
      <c r="C106" s="356"/>
      <c r="D106" s="316"/>
      <c r="E106" s="3" t="s">
        <v>79</v>
      </c>
      <c r="F106" s="3" t="str">
        <f>E106</f>
        <v>kg/d</v>
      </c>
      <c r="G106" s="3" t="str">
        <f>'Default values'!K49</f>
        <v>kg/h</v>
      </c>
      <c r="H106" s="3" t="str">
        <f>'Default values'!E49</f>
        <v>£</v>
      </c>
      <c r="I106" s="3" t="str">
        <f>'Default values'!F49</f>
        <v>£</v>
      </c>
      <c r="J106" s="3" t="str">
        <f>'Default values'!G49</f>
        <v>£/a</v>
      </c>
      <c r="K106" s="3" t="str">
        <f>'Default values'!H49</f>
        <v>kW</v>
      </c>
      <c r="L106" s="3" t="str">
        <f>'Default values'!I49</f>
        <v>l/h</v>
      </c>
      <c r="M106" s="3" t="str">
        <f>'Default values'!J49</f>
        <v>% (w/w)</v>
      </c>
      <c r="N106" s="318"/>
    </row>
    <row r="107" spans="3:14" ht="15">
      <c r="C107" s="5">
        <v>1</v>
      </c>
      <c r="D107" s="50">
        <f>D101</f>
        <v>1</v>
      </c>
      <c r="E107" s="50">
        <f>D96</f>
        <v>30</v>
      </c>
      <c r="F107" s="50">
        <f>D107*E107</f>
        <v>30</v>
      </c>
      <c r="G107" s="157" t="e">
        <f>D107*VLOOKUP(E107,'Default values'!D50:K54,8,FALSE)</f>
        <v>#VALUE!</v>
      </c>
      <c r="H107" s="50">
        <f>D107*VLOOKUP(E107,'Default values'!D50:K54,2,FALSE)</f>
        <v>10775</v>
      </c>
      <c r="I107" s="50">
        <f>D107*VLOOKUP(E107,'Default values'!D50:K54,3,FALSE)</f>
        <v>0</v>
      </c>
      <c r="J107" s="50">
        <f>D107*VLOOKUP(E107,'Default values'!D50:K54,4,FALSE)</f>
        <v>490</v>
      </c>
      <c r="K107" s="50">
        <f>D107*VLOOKUP(E107,'Default values'!D50:K54,5,FALSE)</f>
        <v>4</v>
      </c>
      <c r="L107" s="50">
        <f>D107*VLOOKUP(E107,'Default values'!D50:K54,6,FALSE)</f>
        <v>0</v>
      </c>
      <c r="M107" s="50">
        <f>D107*VLOOKUP(E107,'Default values'!D50:K54,7,FALSE)</f>
        <v>87.5</v>
      </c>
      <c r="N107" s="47">
        <f>C107</f>
        <v>1</v>
      </c>
    </row>
    <row r="108" spans="3:14" ht="15">
      <c r="C108" s="5">
        <v>2</v>
      </c>
      <c r="D108" s="50">
        <f>E101</f>
        <v>1</v>
      </c>
      <c r="E108" s="50">
        <f>E96</f>
        <v>50</v>
      </c>
      <c r="F108" s="50">
        <f>D108*E108</f>
        <v>50</v>
      </c>
      <c r="G108" s="157" t="e">
        <f>D108*VLOOKUP(E108,'Default values'!D50:K54,8,FALSE)</f>
        <v>#VALUE!</v>
      </c>
      <c r="H108" s="50">
        <f>D108*VLOOKUP(E108,'Default values'!D50:K54,2,FALSE)</f>
        <v>11625</v>
      </c>
      <c r="I108" s="50">
        <f>D108*VLOOKUP(E108,'Default values'!D50:K54,3,FALSE)</f>
        <v>500</v>
      </c>
      <c r="J108" s="50">
        <f>D108*VLOOKUP(E108,'Default values'!D50:K54,4,FALSE)</f>
        <v>400</v>
      </c>
      <c r="K108" s="50">
        <f>D108*VLOOKUP(E108,'Default values'!D50:K54,5,FALSE)</f>
        <v>1</v>
      </c>
      <c r="L108" s="50">
        <f>D108*VLOOKUP(E108,'Default values'!D50:K54,6,FALSE)</f>
        <v>0</v>
      </c>
      <c r="M108" s="50">
        <f>D108*VLOOKUP(E108,'Default values'!D50:K54,7,FALSE)</f>
        <v>90</v>
      </c>
      <c r="N108" s="47">
        <f>C108</f>
        <v>2</v>
      </c>
    </row>
    <row r="109" spans="3:14" ht="15">
      <c r="C109" s="5">
        <v>3</v>
      </c>
      <c r="D109" s="50">
        <f>F101</f>
        <v>1</v>
      </c>
      <c r="E109" s="50">
        <f>F96</f>
        <v>100</v>
      </c>
      <c r="F109" s="50">
        <f>D109*E109</f>
        <v>100</v>
      </c>
      <c r="G109" s="157" t="e">
        <f>D109*VLOOKUP(E109,'Default values'!D50:K54,8,FALSE)</f>
        <v>#VALUE!</v>
      </c>
      <c r="H109" s="50">
        <f>D109*VLOOKUP(E109,'Default values'!D50:K54,2,FALSE)</f>
        <v>15590</v>
      </c>
      <c r="I109" s="50">
        <f>D109*VLOOKUP(E109,'Default values'!D50:K54,3,FALSE)</f>
        <v>0</v>
      </c>
      <c r="J109" s="50">
        <f>D109*VLOOKUP(E109,'Default values'!D50:K54,4,FALSE)</f>
        <v>490</v>
      </c>
      <c r="K109" s="50">
        <f>D109*VLOOKUP(E109,'Default values'!D50:K54,5,FALSE)</f>
        <v>8</v>
      </c>
      <c r="L109" s="50">
        <f>D109*VLOOKUP(E109,'Default values'!D50:K54,6,FALSE)</f>
        <v>0</v>
      </c>
      <c r="M109" s="50">
        <f>D109*VLOOKUP(E109,'Default values'!D50:K54,7,FALSE)</f>
        <v>87.5</v>
      </c>
      <c r="N109" s="47">
        <f>C109</f>
        <v>3</v>
      </c>
    </row>
    <row r="110" spans="3:14" ht="15">
      <c r="C110" s="5">
        <v>4</v>
      </c>
      <c r="D110" s="50">
        <f>G101</f>
        <v>1</v>
      </c>
      <c r="E110" s="50">
        <f>G96</f>
        <v>300</v>
      </c>
      <c r="F110" s="50">
        <f>D110*E110</f>
        <v>300</v>
      </c>
      <c r="G110" s="157" t="e">
        <f>D110*VLOOKUP(E110,'Default values'!D50:K54,8,FALSE)</f>
        <v>#VALUE!</v>
      </c>
      <c r="H110" s="50">
        <f>D110*VLOOKUP(E110,'Default values'!D50:K54,2,FALSE)</f>
        <v>31250</v>
      </c>
      <c r="I110" s="50">
        <f>D110*VLOOKUP(E110,'Default values'!D50:K54,3,FALSE)</f>
        <v>600</v>
      </c>
      <c r="J110" s="50">
        <f>D110*VLOOKUP(E110,'Default values'!D50:K54,4,FALSE)</f>
        <v>475</v>
      </c>
      <c r="K110" s="50">
        <f>D110*VLOOKUP(E110,'Default values'!D50:K54,5,FALSE)</f>
        <v>1.5</v>
      </c>
      <c r="L110" s="50">
        <f>D110*VLOOKUP(E110,'Default values'!D50:K54,6,FALSE)</f>
        <v>0</v>
      </c>
      <c r="M110" s="50">
        <f>D110*VLOOKUP(E110,'Default values'!D50:K54,7,FALSE)</f>
        <v>90</v>
      </c>
      <c r="N110" s="47">
        <f>C110</f>
        <v>4</v>
      </c>
    </row>
    <row r="111" spans="3:14" ht="15.75" thickBot="1">
      <c r="C111" s="6">
        <v>5</v>
      </c>
      <c r="D111" s="53">
        <f>H101</f>
        <v>1</v>
      </c>
      <c r="E111" s="53">
        <f>H96</f>
        <v>600</v>
      </c>
      <c r="F111" s="53">
        <f>D111*E111</f>
        <v>600</v>
      </c>
      <c r="G111" s="158" t="e">
        <f>D111*VLOOKUP(E111,'Default values'!D50:K54,8,FALSE)</f>
        <v>#VALUE!</v>
      </c>
      <c r="H111" s="53">
        <f>D111*VLOOKUP(E111,'Default values'!D50:K54,2,FALSE)</f>
        <v>55625</v>
      </c>
      <c r="I111" s="53">
        <f>D111*VLOOKUP(E111,'Default values'!D50:K54,3,FALSE)</f>
        <v>700</v>
      </c>
      <c r="J111" s="53">
        <f>D111*VLOOKUP(E111,'Default values'!D50:K54,4,FALSE)</f>
        <v>525</v>
      </c>
      <c r="K111" s="53">
        <f>D111*VLOOKUP(E111,'Default values'!D50:K54,5,FALSE)</f>
        <v>3.3</v>
      </c>
      <c r="L111" s="53">
        <f>D111*VLOOKUP(E111,'Default values'!D50:K54,6,FALSE)</f>
        <v>0</v>
      </c>
      <c r="M111" s="53">
        <f>D111*VLOOKUP(E111,'Default values'!D50:K54,7,FALSE)</f>
        <v>90</v>
      </c>
      <c r="N111" s="48">
        <f>C111</f>
        <v>5</v>
      </c>
    </row>
    <row r="112" spans="3:14" ht="15.75" thickBot="1">
      <c r="C112" s="133"/>
      <c r="D112" s="133"/>
      <c r="E112" s="133"/>
      <c r="F112" s="133"/>
      <c r="G112" s="133"/>
      <c r="H112" s="133"/>
      <c r="I112" s="133"/>
      <c r="J112" s="133"/>
      <c r="K112" s="133"/>
      <c r="L112" s="133"/>
      <c r="M112" s="133"/>
      <c r="N112" s="133"/>
    </row>
    <row r="113" spans="3:14" ht="15.75" thickBot="1">
      <c r="C113" s="347" t="s">
        <v>214</v>
      </c>
      <c r="D113" s="348"/>
      <c r="E113" s="349"/>
      <c r="F113" s="350" t="s">
        <v>197</v>
      </c>
      <c r="G113" s="351"/>
      <c r="H113" s="127">
        <f>SMALL(H107:H111,COUNTIF(H107:H111,0)+1)</f>
        <v>10775</v>
      </c>
      <c r="I113" s="126" t="s">
        <v>198</v>
      </c>
      <c r="J113" s="127">
        <f>VLOOKUP(H113,H107:N111,7,FALSE)</f>
        <v>1</v>
      </c>
      <c r="K113" s="133"/>
      <c r="L113" s="133"/>
      <c r="M113" s="133"/>
      <c r="N113" s="133"/>
    </row>
    <row r="114" ht="15.75" thickBot="1"/>
    <row r="115" spans="3:14" ht="15">
      <c r="C115" s="133"/>
      <c r="D115" s="332" t="s">
        <v>327</v>
      </c>
      <c r="E115" s="333"/>
      <c r="F115" s="333"/>
      <c r="G115" s="333"/>
      <c r="H115" s="334"/>
      <c r="I115" s="357" t="s">
        <v>323</v>
      </c>
      <c r="J115" s="357"/>
      <c r="K115" s="357"/>
      <c r="L115" s="357"/>
      <c r="M115" s="357"/>
      <c r="N115" s="357"/>
    </row>
    <row r="116" spans="3:14" ht="15.75" thickBot="1">
      <c r="C116" s="133"/>
      <c r="D116" s="359" t="s">
        <v>189</v>
      </c>
      <c r="E116" s="286"/>
      <c r="F116" s="286"/>
      <c r="G116" s="286"/>
      <c r="H116" s="287"/>
      <c r="I116" s="357"/>
      <c r="J116" s="357"/>
      <c r="K116" s="357"/>
      <c r="L116" s="357"/>
      <c r="M116" s="357"/>
      <c r="N116" s="357"/>
    </row>
    <row r="117" spans="3:14" ht="15">
      <c r="C117" s="38" t="s">
        <v>183</v>
      </c>
      <c r="D117" s="3" t="s">
        <v>184</v>
      </c>
      <c r="E117" s="3" t="s">
        <v>185</v>
      </c>
      <c r="F117" s="3" t="s">
        <v>186</v>
      </c>
      <c r="G117" s="3" t="s">
        <v>187</v>
      </c>
      <c r="H117" s="124" t="s">
        <v>188</v>
      </c>
      <c r="I117" s="357"/>
      <c r="J117" s="357"/>
      <c r="K117" s="357"/>
      <c r="L117" s="357"/>
      <c r="M117" s="357"/>
      <c r="N117" s="357"/>
    </row>
    <row r="118" spans="3:14" ht="15">
      <c r="C118" s="5">
        <v>1</v>
      </c>
      <c r="D118" s="50">
        <f>C118*'Default values'!D60</f>
        <v>20</v>
      </c>
      <c r="E118" s="50">
        <f>C118*'Default values'!D61</f>
        <v>60</v>
      </c>
      <c r="F118" s="50">
        <f>C118*'Default values'!D62</f>
        <v>100</v>
      </c>
      <c r="G118" s="50">
        <f>C118*'Default values'!D63</f>
        <v>200</v>
      </c>
      <c r="H118" s="47">
        <f>C118*'Default values'!D64</f>
        <v>600</v>
      </c>
      <c r="I118" s="357"/>
      <c r="J118" s="357"/>
      <c r="K118" s="357"/>
      <c r="L118" s="357"/>
      <c r="M118" s="357"/>
      <c r="N118" s="357"/>
    </row>
    <row r="119" spans="3:14" ht="15">
      <c r="C119" s="5">
        <v>2</v>
      </c>
      <c r="D119" s="50">
        <f>C119*D118</f>
        <v>40</v>
      </c>
      <c r="E119" s="50">
        <f>C119*E118</f>
        <v>120</v>
      </c>
      <c r="F119" s="50">
        <f>C119*F118</f>
        <v>200</v>
      </c>
      <c r="G119" s="50">
        <f>C119*G118</f>
        <v>400</v>
      </c>
      <c r="H119" s="47">
        <f>C119*H118</f>
        <v>1200</v>
      </c>
      <c r="I119" s="357"/>
      <c r="J119" s="357"/>
      <c r="K119" s="357"/>
      <c r="L119" s="357"/>
      <c r="M119" s="357"/>
      <c r="N119" s="357"/>
    </row>
    <row r="120" spans="3:14" ht="15">
      <c r="C120" s="5">
        <v>3</v>
      </c>
      <c r="D120" s="50">
        <f>C120*D118</f>
        <v>60</v>
      </c>
      <c r="E120" s="50">
        <f>C120*E118</f>
        <v>180</v>
      </c>
      <c r="F120" s="50">
        <f>C120*F118</f>
        <v>300</v>
      </c>
      <c r="G120" s="50">
        <f>C120*G118</f>
        <v>600</v>
      </c>
      <c r="H120" s="47">
        <f>C120*H118</f>
        <v>1800</v>
      </c>
      <c r="I120" s="357"/>
      <c r="J120" s="357"/>
      <c r="K120" s="357"/>
      <c r="L120" s="357"/>
      <c r="M120" s="357"/>
      <c r="N120" s="357"/>
    </row>
    <row r="121" spans="3:14" ht="15">
      <c r="C121" s="5">
        <v>4</v>
      </c>
      <c r="D121" s="50">
        <f>C121*D118</f>
        <v>80</v>
      </c>
      <c r="E121" s="50">
        <f>C121*E118</f>
        <v>240</v>
      </c>
      <c r="F121" s="50">
        <f>C121*F118</f>
        <v>400</v>
      </c>
      <c r="G121" s="50">
        <f>C121*G118</f>
        <v>800</v>
      </c>
      <c r="H121" s="47">
        <f>C121*H118</f>
        <v>2400</v>
      </c>
      <c r="I121" s="357"/>
      <c r="J121" s="357"/>
      <c r="K121" s="357"/>
      <c r="L121" s="357"/>
      <c r="M121" s="357"/>
      <c r="N121" s="357"/>
    </row>
    <row r="122" spans="3:14" ht="15">
      <c r="C122" s="5">
        <v>5</v>
      </c>
      <c r="D122" s="52">
        <f>C122*D118</f>
        <v>100</v>
      </c>
      <c r="E122" s="52">
        <f>C122*E118</f>
        <v>300</v>
      </c>
      <c r="F122" s="52">
        <f>C122*F118</f>
        <v>500</v>
      </c>
      <c r="G122" s="52">
        <f>C122*G118</f>
        <v>1000</v>
      </c>
      <c r="H122" s="125">
        <f>C122*H118</f>
        <v>3000</v>
      </c>
      <c r="I122" s="357"/>
      <c r="J122" s="357"/>
      <c r="K122" s="357"/>
      <c r="L122" s="357"/>
      <c r="M122" s="357"/>
      <c r="N122" s="357"/>
    </row>
    <row r="123" spans="3:14" ht="15.75" thickBot="1">
      <c r="C123" s="15" t="s">
        <v>190</v>
      </c>
      <c r="D123" s="53">
        <f>IF('Default values'!$G$76&lt;D118,C118,IF('Default values'!$G$76&lt;D119,C119,IF('Default values'!$G$76&lt;D120,C120,IF('Default values'!$G$76&lt;D121,C121,IF('Default values'!$G$76&lt;D122,C122,0)))))</f>
        <v>1</v>
      </c>
      <c r="E123" s="53">
        <f>IF('Default values'!$G$76&lt;E118,C118,IF('Default values'!$G$76&lt;E119,C119,IF('Default values'!$G$76&lt;E120,C120,IF('Default values'!$G$76&lt;E121,C121,IF('Default values'!$G$76&lt;E122,C122,0)))))</f>
        <v>1</v>
      </c>
      <c r="F123" s="53">
        <f>IF('Default values'!$G$76&lt;F118,C118,IF('Default values'!$G$76&lt;F119,C119,IF('Default values'!$G$76&lt;F120,C120,IF('Default values'!$G$76&lt;F121,C121,IF('Default values'!$G$76&lt;F122,C122,0)))))</f>
        <v>1</v>
      </c>
      <c r="G123" s="53">
        <f>IF('Default values'!$G$76&lt;G118,C118,IF('Default values'!$G$76&lt;G119,C119,IF('Default values'!$G$76&lt;G120,C120,IF('Default values'!$G$76&lt;G121,C121,IF('Default values'!$G$76&lt;G122,C122,0)))))</f>
        <v>1</v>
      </c>
      <c r="H123" s="48">
        <f>IF('Default values'!$G$76&lt;H118,C118,IF('Default values'!$G$76&lt;H119,C119,IF('Default values'!$G$76&lt;H120,C120,IF('Default values'!$G$76&lt;H121,C121,IF('Default values'!$G$76&lt;H122,C122,0)))))</f>
        <v>1</v>
      </c>
      <c r="I123" s="357"/>
      <c r="J123" s="357"/>
      <c r="K123" s="357"/>
      <c r="L123" s="357"/>
      <c r="M123" s="357"/>
      <c r="N123" s="357"/>
    </row>
    <row r="124" spans="3:14" ht="15.75" thickBot="1">
      <c r="C124" s="133"/>
      <c r="D124" s="133"/>
      <c r="E124" s="133"/>
      <c r="F124" s="133"/>
      <c r="G124" s="133"/>
      <c r="H124" s="133"/>
      <c r="I124" s="358"/>
      <c r="J124" s="358"/>
      <c r="K124" s="358"/>
      <c r="L124" s="358"/>
      <c r="M124" s="358"/>
      <c r="N124" s="358"/>
    </row>
    <row r="125" spans="3:14" ht="15.75" thickBot="1">
      <c r="C125" s="133"/>
      <c r="D125" s="352" t="s">
        <v>332</v>
      </c>
      <c r="E125" s="353"/>
      <c r="F125" s="353"/>
      <c r="G125" s="353"/>
      <c r="H125" s="353"/>
      <c r="I125" s="353"/>
      <c r="J125" s="353"/>
      <c r="K125" s="353"/>
      <c r="L125" s="353"/>
      <c r="M125" s="353"/>
      <c r="N125" s="354"/>
    </row>
    <row r="126" spans="3:14" ht="15" customHeight="1">
      <c r="C126" s="355" t="s">
        <v>192</v>
      </c>
      <c r="D126" s="316" t="s">
        <v>193</v>
      </c>
      <c r="E126" s="316" t="s">
        <v>194</v>
      </c>
      <c r="F126" s="316" t="s">
        <v>195</v>
      </c>
      <c r="G126" s="316" t="str">
        <f>'Default values'!K57</f>
        <v>Throughput rate</v>
      </c>
      <c r="H126" s="316" t="str">
        <f>'Default values'!E57</f>
        <v>Capex</v>
      </c>
      <c r="I126" s="316" t="str">
        <f>'Default values'!F57</f>
        <v>Installation cost</v>
      </c>
      <c r="J126" s="316" t="str">
        <f>'Default values'!G57</f>
        <v>Maintenance cost</v>
      </c>
      <c r="K126" s="316" t="str">
        <f>'Default values'!H57</f>
        <v>Electrical power</v>
      </c>
      <c r="L126" s="316" t="str">
        <f>'Default values'!I57</f>
        <v>Water use</v>
      </c>
      <c r="M126" s="316" t="str">
        <f>'Default values'!J57</f>
        <v>% food to atmosphere</v>
      </c>
      <c r="N126" s="318" t="s">
        <v>196</v>
      </c>
    </row>
    <row r="127" spans="3:14" ht="15">
      <c r="C127" s="356"/>
      <c r="D127" s="316"/>
      <c r="E127" s="316"/>
      <c r="F127" s="316"/>
      <c r="G127" s="316"/>
      <c r="H127" s="316"/>
      <c r="I127" s="316"/>
      <c r="J127" s="316"/>
      <c r="K127" s="316"/>
      <c r="L127" s="316"/>
      <c r="M127" s="316"/>
      <c r="N127" s="318"/>
    </row>
    <row r="128" spans="3:14" ht="15">
      <c r="C128" s="356"/>
      <c r="D128" s="316"/>
      <c r="E128" s="3" t="s">
        <v>79</v>
      </c>
      <c r="F128" s="3" t="str">
        <f>E128</f>
        <v>kg/d</v>
      </c>
      <c r="G128" s="3" t="str">
        <f>'Default values'!K59</f>
        <v>kg/h</v>
      </c>
      <c r="H128" s="3" t="str">
        <f>'Default values'!E59</f>
        <v>£</v>
      </c>
      <c r="I128" s="3" t="str">
        <f>'Default values'!F59</f>
        <v>£</v>
      </c>
      <c r="J128" s="3" t="str">
        <f>'Default values'!G59</f>
        <v>£/a</v>
      </c>
      <c r="K128" s="3" t="str">
        <f>'Default values'!H59</f>
        <v>kW</v>
      </c>
      <c r="L128" s="3" t="str">
        <f>'Default values'!I59</f>
        <v>l/h</v>
      </c>
      <c r="M128" s="3" t="str">
        <f>'Default values'!J59</f>
        <v>% (w/w)</v>
      </c>
      <c r="N128" s="318"/>
    </row>
    <row r="129" spans="3:14" ht="15">
      <c r="C129" s="5">
        <v>1</v>
      </c>
      <c r="D129" s="50">
        <f>D123</f>
        <v>1</v>
      </c>
      <c r="E129" s="50">
        <f>D118</f>
        <v>20</v>
      </c>
      <c r="F129" s="50">
        <f>D129*E129</f>
        <v>20</v>
      </c>
      <c r="G129" s="211" t="e">
        <f>D129*VLOOKUP(E129,'Default values'!D60:K64,8,FALSE)</f>
        <v>#VALUE!</v>
      </c>
      <c r="H129" s="50">
        <f>D129*VLOOKUP(E129,'Default values'!D60:K64,2,FALSE)</f>
        <v>8000</v>
      </c>
      <c r="I129" s="50">
        <f>D129*VLOOKUP(E129,'Default values'!D60:K64,3,FALSE)</f>
        <v>250</v>
      </c>
      <c r="J129" s="50">
        <f>D129*VLOOKUP(E129,'Default values'!D60:K64,4,FALSE)</f>
        <v>250</v>
      </c>
      <c r="K129" s="50">
        <f>D129*VLOOKUP(E129,'Default values'!D60:K64,5,FALSE)</f>
        <v>1.4</v>
      </c>
      <c r="L129" s="50">
        <f>D129*VLOOKUP(E129,'Default values'!D60:K64,6,FALSE)</f>
        <v>0</v>
      </c>
      <c r="M129" s="50">
        <f>D129*VLOOKUP(E129,'Default values'!D60:K64,7,FALSE)</f>
        <v>90</v>
      </c>
      <c r="N129" s="47">
        <f>C129</f>
        <v>1</v>
      </c>
    </row>
    <row r="130" spans="3:14" ht="15">
      <c r="C130" s="5">
        <v>2</v>
      </c>
      <c r="D130" s="50">
        <f>E123</f>
        <v>1</v>
      </c>
      <c r="E130" s="50">
        <f>E118</f>
        <v>60</v>
      </c>
      <c r="F130" s="50">
        <f>D130*E130</f>
        <v>60</v>
      </c>
      <c r="G130" s="211" t="e">
        <f>D130*VLOOKUP(E130,'Default values'!D60:K64,8,FALSE)</f>
        <v>#VALUE!</v>
      </c>
      <c r="H130" s="50">
        <f>D130*VLOOKUP(E130,'Default values'!D60:K64,2,FALSE)</f>
        <v>13000</v>
      </c>
      <c r="I130" s="50">
        <f>D130*VLOOKUP(E130,'Default values'!D60:K64,3,FALSE)</f>
        <v>250</v>
      </c>
      <c r="J130" s="50">
        <f>D130*VLOOKUP(E130,'Default values'!D60:K64,4,FALSE)</f>
        <v>250</v>
      </c>
      <c r="K130" s="50">
        <f>D130*VLOOKUP(E130,'Default values'!D60:K64,5,FALSE)</f>
        <v>3.2</v>
      </c>
      <c r="L130" s="50">
        <f>D130*VLOOKUP(E130,'Default values'!D60:K64,6,FALSE)</f>
        <v>0</v>
      </c>
      <c r="M130" s="50">
        <f>D130*VLOOKUP(E130,'Default values'!D60:K64,7,FALSE)</f>
        <v>90</v>
      </c>
      <c r="N130" s="47">
        <f>C130</f>
        <v>2</v>
      </c>
    </row>
    <row r="131" spans="3:14" ht="15">
      <c r="C131" s="5">
        <v>3</v>
      </c>
      <c r="D131" s="50">
        <f>F123</f>
        <v>1</v>
      </c>
      <c r="E131" s="50">
        <f>F118</f>
        <v>100</v>
      </c>
      <c r="F131" s="50">
        <f>D131*E131</f>
        <v>100</v>
      </c>
      <c r="G131" s="211" t="e">
        <f>D131*VLOOKUP(E131,'Default values'!D60:K64,8,FALSE)</f>
        <v>#VALUE!</v>
      </c>
      <c r="H131" s="50">
        <f>D131*VLOOKUP(E131,'Default values'!D60:K64,2,FALSE)</f>
        <v>18000</v>
      </c>
      <c r="I131" s="50">
        <f>D131*VLOOKUP(E131,'Default values'!D60:K64,3,FALSE)</f>
        <v>250</v>
      </c>
      <c r="J131" s="50">
        <f>D131*VLOOKUP(E131,'Default values'!D60:K64,4,FALSE)</f>
        <v>250</v>
      </c>
      <c r="K131" s="50">
        <f>D131*VLOOKUP(E131,'Default values'!D60:K64,5,FALSE)</f>
        <v>5</v>
      </c>
      <c r="L131" s="50">
        <f>D131*VLOOKUP(E131,'Default values'!D60:K64,6,FALSE)</f>
        <v>0</v>
      </c>
      <c r="M131" s="50">
        <f>D131*VLOOKUP(E131,'Default values'!D60:K64,7,FALSE)</f>
        <v>90</v>
      </c>
      <c r="N131" s="47">
        <f>C131</f>
        <v>3</v>
      </c>
    </row>
    <row r="132" spans="3:14" ht="15">
      <c r="C132" s="5">
        <v>4</v>
      </c>
      <c r="D132" s="50">
        <f>G123</f>
        <v>1</v>
      </c>
      <c r="E132" s="50">
        <f>G118</f>
        <v>200</v>
      </c>
      <c r="F132" s="50">
        <f>D132*E132</f>
        <v>200</v>
      </c>
      <c r="G132" s="211" t="e">
        <f>D132*VLOOKUP(E132,'Default values'!D60:K64,8,FALSE)</f>
        <v>#VALUE!</v>
      </c>
      <c r="H132" s="50">
        <f>D132*VLOOKUP(E132,'Default values'!D60:K64,2,FALSE)</f>
        <v>25000</v>
      </c>
      <c r="I132" s="50">
        <f>D132*VLOOKUP(E132,'Default values'!D60:K64,3,FALSE)</f>
        <v>400</v>
      </c>
      <c r="J132" s="50">
        <f>D132*VLOOKUP(E132,'Default values'!D60:K64,4,FALSE)</f>
        <v>250</v>
      </c>
      <c r="K132" s="50">
        <f>D132*VLOOKUP(E132,'Default values'!D60:K64,5,FALSE)</f>
        <v>11.2</v>
      </c>
      <c r="L132" s="50">
        <f>D132*VLOOKUP(E132,'Default values'!D60:K64,6,FALSE)</f>
        <v>0</v>
      </c>
      <c r="M132" s="50">
        <f>D132*VLOOKUP(E132,'Default values'!D60:K64,7,FALSE)</f>
        <v>90</v>
      </c>
      <c r="N132" s="47">
        <f>C132</f>
        <v>4</v>
      </c>
    </row>
    <row r="133" spans="3:14" ht="15.75" thickBot="1">
      <c r="C133" s="6">
        <v>5</v>
      </c>
      <c r="D133" s="53">
        <f>H123</f>
        <v>1</v>
      </c>
      <c r="E133" s="53">
        <f>H118</f>
        <v>600</v>
      </c>
      <c r="F133" s="53">
        <f>D133*E133</f>
        <v>600</v>
      </c>
      <c r="G133" s="212" t="e">
        <f>D133*VLOOKUP(E133,'Default values'!D60:K64,8,FALSE)</f>
        <v>#VALUE!</v>
      </c>
      <c r="H133" s="53">
        <f>D133*VLOOKUP(E133,'Default values'!D60:K64,2,FALSE)</f>
        <v>65000</v>
      </c>
      <c r="I133" s="53">
        <f>D133*VLOOKUP(E133,'Default values'!D60:K64,3,FALSE)</f>
        <v>400</v>
      </c>
      <c r="J133" s="53">
        <f>D133*VLOOKUP(E133,'Default values'!D60:K64,4,FALSE)</f>
        <v>250</v>
      </c>
      <c r="K133" s="53">
        <f>D133*VLOOKUP(E133,'Default values'!D60:K64,5,FALSE)</f>
        <v>24.7</v>
      </c>
      <c r="L133" s="53">
        <f>D133*VLOOKUP(E133,'Default values'!D60:K64,6,FALSE)</f>
        <v>0</v>
      </c>
      <c r="M133" s="53">
        <f>D133*VLOOKUP(E133,'Default values'!D60:K64,7,FALSE)</f>
        <v>90</v>
      </c>
      <c r="N133" s="48">
        <f>C133</f>
        <v>5</v>
      </c>
    </row>
    <row r="134" spans="3:14" ht="15.75" thickBot="1">
      <c r="C134" s="133"/>
      <c r="D134" s="133"/>
      <c r="E134" s="133"/>
      <c r="F134" s="133"/>
      <c r="G134" s="133"/>
      <c r="H134" s="133"/>
      <c r="I134" s="133"/>
      <c r="J134" s="133"/>
      <c r="K134" s="133"/>
      <c r="L134" s="133"/>
      <c r="M134" s="133"/>
      <c r="N134" s="133"/>
    </row>
    <row r="135" spans="3:14" ht="15.75" thickBot="1">
      <c r="C135" s="347" t="s">
        <v>335</v>
      </c>
      <c r="D135" s="348"/>
      <c r="E135" s="349"/>
      <c r="F135" s="350" t="s">
        <v>197</v>
      </c>
      <c r="G135" s="351"/>
      <c r="H135" s="127">
        <f>SMALL(H129:H133,COUNTIF(H129:H133,0)+1)</f>
        <v>8000</v>
      </c>
      <c r="I135" s="204" t="s">
        <v>198</v>
      </c>
      <c r="J135" s="127">
        <f>VLOOKUP(H135,H129:N133,7,FALSE)</f>
        <v>1</v>
      </c>
      <c r="K135" s="133"/>
      <c r="L135" s="133"/>
      <c r="M135" s="133"/>
      <c r="N135" s="133"/>
    </row>
    <row r="136" ht="15.75" thickBot="1"/>
    <row r="137" spans="3:14" ht="15">
      <c r="C137" s="133"/>
      <c r="D137" s="332" t="s">
        <v>328</v>
      </c>
      <c r="E137" s="333"/>
      <c r="F137" s="333"/>
      <c r="G137" s="333"/>
      <c r="H137" s="334"/>
      <c r="I137" s="357" t="s">
        <v>326</v>
      </c>
      <c r="J137" s="357"/>
      <c r="K137" s="357"/>
      <c r="L137" s="357"/>
      <c r="M137" s="357"/>
      <c r="N137" s="357"/>
    </row>
    <row r="138" spans="3:14" ht="15.75" thickBot="1">
      <c r="C138" s="133"/>
      <c r="D138" s="359" t="s">
        <v>189</v>
      </c>
      <c r="E138" s="286"/>
      <c r="F138" s="286"/>
      <c r="G138" s="286"/>
      <c r="H138" s="287"/>
      <c r="I138" s="357"/>
      <c r="J138" s="357"/>
      <c r="K138" s="357"/>
      <c r="L138" s="357"/>
      <c r="M138" s="357"/>
      <c r="N138" s="357"/>
    </row>
    <row r="139" spans="3:14" ht="15">
      <c r="C139" s="38" t="s">
        <v>183</v>
      </c>
      <c r="D139" s="3" t="s">
        <v>184</v>
      </c>
      <c r="E139" s="3" t="s">
        <v>185</v>
      </c>
      <c r="F139" s="3" t="s">
        <v>186</v>
      </c>
      <c r="G139" s="3" t="s">
        <v>187</v>
      </c>
      <c r="H139" s="124" t="s">
        <v>188</v>
      </c>
      <c r="I139" s="357"/>
      <c r="J139" s="357"/>
      <c r="K139" s="357"/>
      <c r="L139" s="357"/>
      <c r="M139" s="357"/>
      <c r="N139" s="357"/>
    </row>
    <row r="140" spans="3:14" ht="15">
      <c r="C140" s="5">
        <v>1</v>
      </c>
      <c r="D140" s="50" t="e">
        <f>C140*'Default values'!D70</f>
        <v>#VALUE!</v>
      </c>
      <c r="E140" s="50" t="e">
        <f>C140*'Default values'!D71</f>
        <v>#VALUE!</v>
      </c>
      <c r="F140" s="50" t="e">
        <f>C140*'Default values'!D72</f>
        <v>#VALUE!</v>
      </c>
      <c r="G140" s="50" t="e">
        <f>C140*'Default values'!D73</f>
        <v>#VALUE!</v>
      </c>
      <c r="H140" s="47" t="e">
        <f>C140*'Default values'!D74</f>
        <v>#VALUE!</v>
      </c>
      <c r="I140" s="357"/>
      <c r="J140" s="357"/>
      <c r="K140" s="357"/>
      <c r="L140" s="357"/>
      <c r="M140" s="357"/>
      <c r="N140" s="357"/>
    </row>
    <row r="141" spans="3:14" ht="15">
      <c r="C141" s="5">
        <v>2</v>
      </c>
      <c r="D141" s="50" t="e">
        <f>C141*D140</f>
        <v>#VALUE!</v>
      </c>
      <c r="E141" s="50" t="e">
        <f>C141*E140</f>
        <v>#VALUE!</v>
      </c>
      <c r="F141" s="50" t="e">
        <f>C141*F140</f>
        <v>#VALUE!</v>
      </c>
      <c r="G141" s="50" t="e">
        <f>C141*G140</f>
        <v>#VALUE!</v>
      </c>
      <c r="H141" s="47" t="e">
        <f>C141*H140</f>
        <v>#VALUE!</v>
      </c>
      <c r="I141" s="357"/>
      <c r="J141" s="357"/>
      <c r="K141" s="357"/>
      <c r="L141" s="357"/>
      <c r="M141" s="357"/>
      <c r="N141" s="357"/>
    </row>
    <row r="142" spans="3:14" ht="15">
      <c r="C142" s="5">
        <v>3</v>
      </c>
      <c r="D142" s="50" t="e">
        <f>C142*D140</f>
        <v>#VALUE!</v>
      </c>
      <c r="E142" s="50" t="e">
        <f>C142*E140</f>
        <v>#VALUE!</v>
      </c>
      <c r="F142" s="50" t="e">
        <f>C142*F140</f>
        <v>#VALUE!</v>
      </c>
      <c r="G142" s="50" t="e">
        <f>C142*G140</f>
        <v>#VALUE!</v>
      </c>
      <c r="H142" s="47" t="e">
        <f>C142*H140</f>
        <v>#VALUE!</v>
      </c>
      <c r="I142" s="357"/>
      <c r="J142" s="357"/>
      <c r="K142" s="357"/>
      <c r="L142" s="357"/>
      <c r="M142" s="357"/>
      <c r="N142" s="357"/>
    </row>
    <row r="143" spans="3:14" ht="15">
      <c r="C143" s="5">
        <v>4</v>
      </c>
      <c r="D143" s="50" t="e">
        <f>C143*D140</f>
        <v>#VALUE!</v>
      </c>
      <c r="E143" s="50" t="e">
        <f>C143*E140</f>
        <v>#VALUE!</v>
      </c>
      <c r="F143" s="50" t="e">
        <f>C143*F140</f>
        <v>#VALUE!</v>
      </c>
      <c r="G143" s="50" t="e">
        <f>C143*G140</f>
        <v>#VALUE!</v>
      </c>
      <c r="H143" s="47" t="e">
        <f>C143*H140</f>
        <v>#VALUE!</v>
      </c>
      <c r="I143" s="357"/>
      <c r="J143" s="357"/>
      <c r="K143" s="357"/>
      <c r="L143" s="357"/>
      <c r="M143" s="357"/>
      <c r="N143" s="357"/>
    </row>
    <row r="144" spans="3:14" ht="15">
      <c r="C144" s="5">
        <v>5</v>
      </c>
      <c r="D144" s="52" t="e">
        <f>C144*D140</f>
        <v>#VALUE!</v>
      </c>
      <c r="E144" s="52" t="e">
        <f>C144*E140</f>
        <v>#VALUE!</v>
      </c>
      <c r="F144" s="52" t="e">
        <f>C144*F140</f>
        <v>#VALUE!</v>
      </c>
      <c r="G144" s="52" t="e">
        <f>C144*G140</f>
        <v>#VALUE!</v>
      </c>
      <c r="H144" s="125" t="e">
        <f>C144*H140</f>
        <v>#VALUE!</v>
      </c>
      <c r="I144" s="357"/>
      <c r="J144" s="357"/>
      <c r="K144" s="357"/>
      <c r="L144" s="357"/>
      <c r="M144" s="357"/>
      <c r="N144" s="357"/>
    </row>
    <row r="145" spans="3:14" ht="15.75" thickBot="1">
      <c r="C145" s="15" t="s">
        <v>190</v>
      </c>
      <c r="D145" s="53" t="e">
        <f>IF('Default values'!$G$76&lt;D140,C140,IF('Default values'!$G$76&lt;D141,C141,IF('Default values'!$G$76&lt;D142,C142,IF('Default values'!$G$76&lt;D143,C143,IF('Default values'!$G$76&lt;D144,C144,0)))))</f>
        <v>#VALUE!</v>
      </c>
      <c r="E145" s="53" t="e">
        <f>IF('Default values'!$G$76&lt;E140,C140,IF('Default values'!$G$76&lt;E141,C141,IF('Default values'!$G$76&lt;E142,C142,IF('Default values'!$G$76&lt;E143,C143,IF('Default values'!$G$76&lt;E144,C144,0)))))</f>
        <v>#VALUE!</v>
      </c>
      <c r="F145" s="53" t="e">
        <f>IF('Default values'!$G$76&lt;F140,C140,IF('Default values'!$G$76&lt;F141,C141,IF('Default values'!$G$76&lt;F142,C142,IF('Default values'!$G$76&lt;F143,C143,IF('Default values'!$G$76&lt;F144,C144,0)))))</f>
        <v>#VALUE!</v>
      </c>
      <c r="G145" s="53" t="e">
        <f>IF('Default values'!$G$76&lt;G140,C140,IF('Default values'!$G$76&lt;G141,C141,IF('Default values'!$G$76&lt;G142,C142,IF('Default values'!$G$76&lt;G143,C143,IF('Default values'!$G$76&lt;G144,C144,0)))))</f>
        <v>#VALUE!</v>
      </c>
      <c r="H145" s="48" t="e">
        <f>IF('Default values'!$G$76&lt;H140,C140,IF('Default values'!$G$76&lt;H141,C141,IF('Default values'!$G$76&lt;H142,C142,IF('Default values'!$G$76&lt;H143,C143,IF('Default values'!$G$76&lt;H144,C144,0)))))</f>
        <v>#VALUE!</v>
      </c>
      <c r="I145" s="357"/>
      <c r="J145" s="357"/>
      <c r="K145" s="357"/>
      <c r="L145" s="357"/>
      <c r="M145" s="357"/>
      <c r="N145" s="357"/>
    </row>
    <row r="146" spans="3:14" ht="15.75" thickBot="1">
      <c r="C146" s="133"/>
      <c r="D146" s="133"/>
      <c r="E146" s="133"/>
      <c r="F146" s="133"/>
      <c r="G146" s="133"/>
      <c r="H146" s="133"/>
      <c r="I146" s="358"/>
      <c r="J146" s="358"/>
      <c r="K146" s="358"/>
      <c r="L146" s="358"/>
      <c r="M146" s="358"/>
      <c r="N146" s="358"/>
    </row>
    <row r="147" spans="3:14" ht="15.75" thickBot="1">
      <c r="C147" s="133"/>
      <c r="D147" s="352" t="s">
        <v>333</v>
      </c>
      <c r="E147" s="353"/>
      <c r="F147" s="353"/>
      <c r="G147" s="353"/>
      <c r="H147" s="353"/>
      <c r="I147" s="353"/>
      <c r="J147" s="353"/>
      <c r="K147" s="353"/>
      <c r="L147" s="353"/>
      <c r="M147" s="353"/>
      <c r="N147" s="354"/>
    </row>
    <row r="148" spans="3:14" ht="15">
      <c r="C148" s="355" t="s">
        <v>192</v>
      </c>
      <c r="D148" s="316" t="s">
        <v>193</v>
      </c>
      <c r="E148" s="316" t="s">
        <v>194</v>
      </c>
      <c r="F148" s="316" t="s">
        <v>195</v>
      </c>
      <c r="G148" s="316" t="str">
        <f>'Default values'!K67</f>
        <v>Throughput rate</v>
      </c>
      <c r="H148" s="316" t="str">
        <f>'Default values'!E67</f>
        <v>Capex</v>
      </c>
      <c r="I148" s="316" t="str">
        <f>'Default values'!F67</f>
        <v>Installation cost</v>
      </c>
      <c r="J148" s="316" t="str">
        <f>'Default values'!G67</f>
        <v>Maintenance cost</v>
      </c>
      <c r="K148" s="316" t="str">
        <f>'Default values'!H67</f>
        <v>Electrical power</v>
      </c>
      <c r="L148" s="316" t="str">
        <f>'Default values'!I67</f>
        <v>Water use</v>
      </c>
      <c r="M148" s="316" t="str">
        <f>'Default values'!J67</f>
        <v>% food to sewer</v>
      </c>
      <c r="N148" s="318" t="s">
        <v>196</v>
      </c>
    </row>
    <row r="149" spans="3:14" ht="15">
      <c r="C149" s="356"/>
      <c r="D149" s="316"/>
      <c r="E149" s="316"/>
      <c r="F149" s="316"/>
      <c r="G149" s="316"/>
      <c r="H149" s="316"/>
      <c r="I149" s="316"/>
      <c r="J149" s="316"/>
      <c r="K149" s="316"/>
      <c r="L149" s="316"/>
      <c r="M149" s="316"/>
      <c r="N149" s="318"/>
    </row>
    <row r="150" spans="3:14" ht="15">
      <c r="C150" s="356"/>
      <c r="D150" s="316"/>
      <c r="E150" s="3" t="s">
        <v>79</v>
      </c>
      <c r="F150" s="3" t="str">
        <f>E150</f>
        <v>kg/d</v>
      </c>
      <c r="G150" s="3" t="str">
        <f>'Default values'!K69</f>
        <v>kg/h</v>
      </c>
      <c r="H150" s="3" t="str">
        <f>'Default values'!E69</f>
        <v>£</v>
      </c>
      <c r="I150" s="3" t="str">
        <f>'Default values'!F69</f>
        <v>£</v>
      </c>
      <c r="J150" s="3" t="str">
        <f>'Default values'!G69</f>
        <v>£/a</v>
      </c>
      <c r="K150" s="3" t="str">
        <f>'Default values'!H69</f>
        <v>kW</v>
      </c>
      <c r="L150" s="3" t="str">
        <f>'Default values'!I69</f>
        <v>l/h</v>
      </c>
      <c r="M150" s="3" t="str">
        <f>'Default values'!J69</f>
        <v>% (w/w)</v>
      </c>
      <c r="N150" s="318"/>
    </row>
    <row r="151" spans="3:14" ht="15">
      <c r="C151" s="5">
        <v>1</v>
      </c>
      <c r="D151" s="50" t="e">
        <f>D145</f>
        <v>#VALUE!</v>
      </c>
      <c r="E151" s="50" t="e">
        <f>D140</f>
        <v>#VALUE!</v>
      </c>
      <c r="F151" s="50" t="e">
        <f>D151*E151</f>
        <v>#VALUE!</v>
      </c>
      <c r="G151" s="50" t="e">
        <f>D151*VLOOKUP(E151,'Default values'!D70:K74,8,FALSE)</f>
        <v>#VALUE!</v>
      </c>
      <c r="H151" s="50" t="e">
        <f>D151*VLOOKUP(E151,'Default values'!D70:K74,2,FALSE)</f>
        <v>#VALUE!</v>
      </c>
      <c r="I151" s="50" t="e">
        <f>D151*VLOOKUP(E151,'Default values'!D70:K74,3,FALSE)</f>
        <v>#VALUE!</v>
      </c>
      <c r="J151" s="50" t="e">
        <f>D151*VLOOKUP(E151,'Default values'!D70:K74,4,FALSE)</f>
        <v>#VALUE!</v>
      </c>
      <c r="K151" s="50" t="e">
        <f>D151*VLOOKUP(E151,'Default values'!D70:K74,5,FALSE)</f>
        <v>#VALUE!</v>
      </c>
      <c r="L151" s="50" t="e">
        <f>D151*VLOOKUP(E151,'Default values'!D70:K74,6,FALSE)</f>
        <v>#VALUE!</v>
      </c>
      <c r="M151" s="50" t="e">
        <f>D151*VLOOKUP(E151,'Default values'!D70:K74,7,FALSE)</f>
        <v>#VALUE!</v>
      </c>
      <c r="N151" s="47">
        <f>C151</f>
        <v>1</v>
      </c>
    </row>
    <row r="152" spans="3:14" ht="15">
      <c r="C152" s="5">
        <v>2</v>
      </c>
      <c r="D152" s="50" t="e">
        <f>E145</f>
        <v>#VALUE!</v>
      </c>
      <c r="E152" s="50" t="e">
        <f>E140</f>
        <v>#VALUE!</v>
      </c>
      <c r="F152" s="50" t="e">
        <f>D152*E152</f>
        <v>#VALUE!</v>
      </c>
      <c r="G152" s="50" t="e">
        <f>D152*VLOOKUP(E152,'Default values'!D70:K74,8,FALSE)</f>
        <v>#VALUE!</v>
      </c>
      <c r="H152" s="50" t="e">
        <f>D152*VLOOKUP(E152,'Default values'!D70:K74,2,FALSE)</f>
        <v>#VALUE!</v>
      </c>
      <c r="I152" s="50" t="e">
        <f>D152*VLOOKUP(E152,'Default values'!D70:K74,3,FALSE)</f>
        <v>#VALUE!</v>
      </c>
      <c r="J152" s="50" t="e">
        <f>D152*VLOOKUP(E152,'Default values'!D70:K74,4,FALSE)</f>
        <v>#VALUE!</v>
      </c>
      <c r="K152" s="50" t="e">
        <f>D152*VLOOKUP(E152,'Default values'!D70:K74,5,FALSE)</f>
        <v>#VALUE!</v>
      </c>
      <c r="L152" s="50" t="e">
        <f>D152*VLOOKUP(E152,'Default values'!D70:K74,6,FALSE)</f>
        <v>#VALUE!</v>
      </c>
      <c r="M152" s="50" t="e">
        <f>D152*VLOOKUP(E152,'Default values'!D70:K74,7,FALSE)</f>
        <v>#VALUE!</v>
      </c>
      <c r="N152" s="47">
        <f>C152</f>
        <v>2</v>
      </c>
    </row>
    <row r="153" spans="3:14" ht="15">
      <c r="C153" s="5">
        <v>3</v>
      </c>
      <c r="D153" s="50" t="e">
        <f>F145</f>
        <v>#VALUE!</v>
      </c>
      <c r="E153" s="50" t="e">
        <f>F140</f>
        <v>#VALUE!</v>
      </c>
      <c r="F153" s="50" t="e">
        <f>D153*E153</f>
        <v>#VALUE!</v>
      </c>
      <c r="G153" s="50" t="e">
        <f>D153*VLOOKUP(E153,'Default values'!D70:K74,8,FALSE)</f>
        <v>#VALUE!</v>
      </c>
      <c r="H153" s="50" t="e">
        <f>D153*VLOOKUP(E153,'Default values'!D70:K74,2,FALSE)</f>
        <v>#VALUE!</v>
      </c>
      <c r="I153" s="50" t="e">
        <f>D153*VLOOKUP(E153,'Default values'!D70:K74,3,FALSE)</f>
        <v>#VALUE!</v>
      </c>
      <c r="J153" s="50" t="e">
        <f>D153*VLOOKUP(E153,'Default values'!D70:K74,4,FALSE)</f>
        <v>#VALUE!</v>
      </c>
      <c r="K153" s="50" t="e">
        <f>D153*VLOOKUP(E153,'Default values'!D70:K74,5,FALSE)</f>
        <v>#VALUE!</v>
      </c>
      <c r="L153" s="50" t="e">
        <f>D153*VLOOKUP(E153,'Default values'!D70:K74,6,FALSE)</f>
        <v>#VALUE!</v>
      </c>
      <c r="M153" s="50" t="e">
        <f>D153*VLOOKUP(E153,'Default values'!D70:K74,7,FALSE)</f>
        <v>#VALUE!</v>
      </c>
      <c r="N153" s="47">
        <f>C153</f>
        <v>3</v>
      </c>
    </row>
    <row r="154" spans="3:14" ht="15">
      <c r="C154" s="5">
        <v>4</v>
      </c>
      <c r="D154" s="50" t="e">
        <f>G145</f>
        <v>#VALUE!</v>
      </c>
      <c r="E154" s="50" t="e">
        <f>G140</f>
        <v>#VALUE!</v>
      </c>
      <c r="F154" s="50" t="e">
        <f>D154*E154</f>
        <v>#VALUE!</v>
      </c>
      <c r="G154" s="50" t="e">
        <f>D154*VLOOKUP(E154,'Default values'!D70:K74,8,FALSE)</f>
        <v>#VALUE!</v>
      </c>
      <c r="H154" s="50" t="e">
        <f>D154*VLOOKUP(E154,'Default values'!D70:K74,2,FALSE)</f>
        <v>#VALUE!</v>
      </c>
      <c r="I154" s="50" t="e">
        <f>D154*VLOOKUP(E154,'Default values'!D70:K74,3,FALSE)</f>
        <v>#VALUE!</v>
      </c>
      <c r="J154" s="50" t="e">
        <f>D154*VLOOKUP(E154,'Default values'!D70:K74,4,FALSE)</f>
        <v>#VALUE!</v>
      </c>
      <c r="K154" s="50" t="e">
        <f>D154*VLOOKUP(E154,'Default values'!D70:K74,5,FALSE)</f>
        <v>#VALUE!</v>
      </c>
      <c r="L154" s="50" t="e">
        <f>D154*VLOOKUP(E154,'Default values'!D70:K74,6,FALSE)</f>
        <v>#VALUE!</v>
      </c>
      <c r="M154" s="50" t="e">
        <f>D154*VLOOKUP(E154,'Default values'!D70:K74,7,FALSE)</f>
        <v>#VALUE!</v>
      </c>
      <c r="N154" s="47">
        <f>C154</f>
        <v>4</v>
      </c>
    </row>
    <row r="155" spans="3:14" ht="15.75" thickBot="1">
      <c r="C155" s="6">
        <v>5</v>
      </c>
      <c r="D155" s="53" t="e">
        <f>H145</f>
        <v>#VALUE!</v>
      </c>
      <c r="E155" s="53" t="e">
        <f>H140</f>
        <v>#VALUE!</v>
      </c>
      <c r="F155" s="53" t="e">
        <f>D155*E155</f>
        <v>#VALUE!</v>
      </c>
      <c r="G155" s="53" t="e">
        <f>D155*VLOOKUP(E155,'Default values'!D70:K74,8,FALSE)</f>
        <v>#VALUE!</v>
      </c>
      <c r="H155" s="53" t="e">
        <f>D155*VLOOKUP(E155,'Default values'!D70:K74,2,FALSE)</f>
        <v>#VALUE!</v>
      </c>
      <c r="I155" s="53" t="e">
        <f>D155*VLOOKUP(E155,'Default values'!D70:K74,3,FALSE)</f>
        <v>#VALUE!</v>
      </c>
      <c r="J155" s="53" t="e">
        <f>D155*VLOOKUP(E155,'Default values'!D70:K74,4,FALSE)</f>
        <v>#VALUE!</v>
      </c>
      <c r="K155" s="53" t="e">
        <f>D155*VLOOKUP(E155,'Default values'!D70:K74,5,FALSE)</f>
        <v>#VALUE!</v>
      </c>
      <c r="L155" s="53" t="e">
        <f>D155*VLOOKUP(E155,'Default values'!D70:K74,6,FALSE)</f>
        <v>#VALUE!</v>
      </c>
      <c r="M155" s="53" t="e">
        <f>D155*VLOOKUP(E155,'Default values'!D70:K74,7,FALSE)</f>
        <v>#VALUE!</v>
      </c>
      <c r="N155" s="48">
        <f>C155</f>
        <v>5</v>
      </c>
    </row>
    <row r="156" spans="3:14" ht="15.75" thickBot="1">
      <c r="C156" s="133"/>
      <c r="D156" s="133"/>
      <c r="E156" s="133"/>
      <c r="F156" s="133"/>
      <c r="G156" s="133"/>
      <c r="H156" s="133"/>
      <c r="I156" s="133"/>
      <c r="J156" s="133"/>
      <c r="K156" s="133"/>
      <c r="L156" s="133"/>
      <c r="M156" s="133"/>
      <c r="N156" s="133"/>
    </row>
    <row r="157" spans="3:14" ht="15.75" thickBot="1">
      <c r="C157" s="347" t="s">
        <v>334</v>
      </c>
      <c r="D157" s="348"/>
      <c r="E157" s="349"/>
      <c r="F157" s="350" t="s">
        <v>197</v>
      </c>
      <c r="G157" s="351"/>
      <c r="H157" s="127" t="e">
        <f>SMALL(H151:H155,COUNTIF(H151:H155,0)+1)</f>
        <v>#VALUE!</v>
      </c>
      <c r="I157" s="204" t="s">
        <v>198</v>
      </c>
      <c r="J157" s="127" t="e">
        <f>VLOOKUP(H157,H151:N155,7,FALSE)</f>
        <v>#VALUE!</v>
      </c>
      <c r="K157" s="133"/>
      <c r="L157" s="133"/>
      <c r="M157" s="133"/>
      <c r="N157" s="133"/>
    </row>
  </sheetData>
  <sheetProtection sheet="1" objects="1" scenarios="1"/>
  <mergeCells count="128">
    <mergeCell ref="C69:E69"/>
    <mergeCell ref="F82:F83"/>
    <mergeCell ref="G82:G83"/>
    <mergeCell ref="H82:H83"/>
    <mergeCell ref="L82:L83"/>
    <mergeCell ref="M82:M83"/>
    <mergeCell ref="C82:C84"/>
    <mergeCell ref="I93:N102"/>
    <mergeCell ref="D94:H94"/>
    <mergeCell ref="D81:N81"/>
    <mergeCell ref="D82:D84"/>
    <mergeCell ref="C91:E91"/>
    <mergeCell ref="F91:G91"/>
    <mergeCell ref="I82:I83"/>
    <mergeCell ref="J82:J83"/>
    <mergeCell ref="K82:K83"/>
    <mergeCell ref="E82:E83"/>
    <mergeCell ref="H104:H105"/>
    <mergeCell ref="I104:I105"/>
    <mergeCell ref="J104:J105"/>
    <mergeCell ref="K104:K105"/>
    <mergeCell ref="L104:L105"/>
    <mergeCell ref="D71:H71"/>
    <mergeCell ref="I71:N80"/>
    <mergeCell ref="D72:H72"/>
    <mergeCell ref="N82:N84"/>
    <mergeCell ref="D93:H93"/>
    <mergeCell ref="C113:E113"/>
    <mergeCell ref="F113:G113"/>
    <mergeCell ref="D103:N103"/>
    <mergeCell ref="C104:C106"/>
    <mergeCell ref="D104:D106"/>
    <mergeCell ref="E104:E105"/>
    <mergeCell ref="F104:F105"/>
    <mergeCell ref="M104:M105"/>
    <mergeCell ref="N104:N106"/>
    <mergeCell ref="G104:G105"/>
    <mergeCell ref="C25:E25"/>
    <mergeCell ref="N38:N40"/>
    <mergeCell ref="F25:G25"/>
    <mergeCell ref="J38:J39"/>
    <mergeCell ref="N60:N62"/>
    <mergeCell ref="C3:F3"/>
    <mergeCell ref="D59:N59"/>
    <mergeCell ref="K60:K61"/>
    <mergeCell ref="C38:C40"/>
    <mergeCell ref="D38:D40"/>
    <mergeCell ref="D49:H49"/>
    <mergeCell ref="I49:N58"/>
    <mergeCell ref="D50:H50"/>
    <mergeCell ref="K38:K39"/>
    <mergeCell ref="E38:E39"/>
    <mergeCell ref="C2:M2"/>
    <mergeCell ref="C60:C62"/>
    <mergeCell ref="I60:I61"/>
    <mergeCell ref="G16:G17"/>
    <mergeCell ref="J16:J17"/>
    <mergeCell ref="C47:E47"/>
    <mergeCell ref="F47:G47"/>
    <mergeCell ref="I27:N36"/>
    <mergeCell ref="D27:H27"/>
    <mergeCell ref="D28:H28"/>
    <mergeCell ref="D60:D62"/>
    <mergeCell ref="E60:E61"/>
    <mergeCell ref="F60:F61"/>
    <mergeCell ref="G60:G61"/>
    <mergeCell ref="H60:H61"/>
    <mergeCell ref="L38:L39"/>
    <mergeCell ref="L60:L61"/>
    <mergeCell ref="F38:F39"/>
    <mergeCell ref="G38:G39"/>
    <mergeCell ref="H38:H39"/>
    <mergeCell ref="I16:I17"/>
    <mergeCell ref="M16:M17"/>
    <mergeCell ref="E16:E17"/>
    <mergeCell ref="F16:F17"/>
    <mergeCell ref="F69:G69"/>
    <mergeCell ref="J60:J61"/>
    <mergeCell ref="M38:M39"/>
    <mergeCell ref="M60:M61"/>
    <mergeCell ref="I38:I39"/>
    <mergeCell ref="D37:N37"/>
    <mergeCell ref="D6:H6"/>
    <mergeCell ref="D5:H5"/>
    <mergeCell ref="L16:L17"/>
    <mergeCell ref="I5:N14"/>
    <mergeCell ref="N16:N18"/>
    <mergeCell ref="C16:C18"/>
    <mergeCell ref="D16:D18"/>
    <mergeCell ref="D15:N15"/>
    <mergeCell ref="K16:K17"/>
    <mergeCell ref="H16:H17"/>
    <mergeCell ref="I126:I127"/>
    <mergeCell ref="J126:J127"/>
    <mergeCell ref="K126:K127"/>
    <mergeCell ref="L126:L127"/>
    <mergeCell ref="M126:M127"/>
    <mergeCell ref="N126:N128"/>
    <mergeCell ref="D115:H115"/>
    <mergeCell ref="I115:N124"/>
    <mergeCell ref="D116:H116"/>
    <mergeCell ref="D125:N125"/>
    <mergeCell ref="C126:C128"/>
    <mergeCell ref="D126:D128"/>
    <mergeCell ref="E126:E127"/>
    <mergeCell ref="F126:F127"/>
    <mergeCell ref="G126:G127"/>
    <mergeCell ref="H126:H127"/>
    <mergeCell ref="J148:J149"/>
    <mergeCell ref="K148:K149"/>
    <mergeCell ref="L148:L149"/>
    <mergeCell ref="M148:M149"/>
    <mergeCell ref="N148:N150"/>
    <mergeCell ref="C135:E135"/>
    <mergeCell ref="F135:G135"/>
    <mergeCell ref="D137:H137"/>
    <mergeCell ref="I137:N146"/>
    <mergeCell ref="D138:H138"/>
    <mergeCell ref="C157:E157"/>
    <mergeCell ref="F157:G157"/>
    <mergeCell ref="D147:N147"/>
    <mergeCell ref="C148:C150"/>
    <mergeCell ref="D148:D150"/>
    <mergeCell ref="E148:E149"/>
    <mergeCell ref="F148:F149"/>
    <mergeCell ref="G148:G149"/>
    <mergeCell ref="H148:H149"/>
    <mergeCell ref="I148:I149"/>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9">
    <tabColor theme="5" tint="0.5999900102615356"/>
  </sheetPr>
  <dimension ref="C2:N47"/>
  <sheetViews>
    <sheetView zoomScalePageLayoutView="0" workbookViewId="0" topLeftCell="A1">
      <selection activeCell="C2" sqref="C2:M2"/>
    </sheetView>
  </sheetViews>
  <sheetFormatPr defaultColWidth="9.140625" defaultRowHeight="15"/>
  <cols>
    <col min="2" max="2" width="2.8515625" style="0" customWidth="1"/>
    <col min="3" max="3" width="17.00390625" style="0" bestFit="1" customWidth="1"/>
    <col min="4" max="4" width="11.140625" style="0" customWidth="1"/>
    <col min="5" max="5" width="12.00390625" style="0" customWidth="1"/>
    <col min="6" max="6" width="13.7109375" style="0" customWidth="1"/>
    <col min="7" max="7" width="11.7109375" style="0" customWidth="1"/>
    <col min="8" max="8" width="11.00390625" style="0" customWidth="1"/>
    <col min="9" max="9" width="15.8515625" style="0" customWidth="1"/>
    <col min="10" max="10" width="12.7109375" style="0" customWidth="1"/>
    <col min="11" max="11" width="13.7109375" style="0" customWidth="1"/>
    <col min="13" max="13" width="10.8515625" style="0" customWidth="1"/>
    <col min="14" max="14" width="12.57421875" style="0" customWidth="1"/>
  </cols>
  <sheetData>
    <row r="2" spans="3:13" ht="26.25">
      <c r="C2" s="320" t="str">
        <f>Inputs!C2</f>
        <v>Resource Efficient Scotland - Hospital food waste disposal calculator </v>
      </c>
      <c r="D2" s="320"/>
      <c r="E2" s="320"/>
      <c r="F2" s="320"/>
      <c r="G2" s="320"/>
      <c r="H2" s="320"/>
      <c r="I2" s="320"/>
      <c r="J2" s="320"/>
      <c r="K2" s="320"/>
      <c r="L2" s="320"/>
      <c r="M2" s="320"/>
    </row>
    <row r="3" spans="3:9" ht="21">
      <c r="C3" s="321" t="s">
        <v>267</v>
      </c>
      <c r="D3" s="321"/>
      <c r="E3" s="321"/>
      <c r="F3" s="321"/>
      <c r="I3" t="s">
        <v>208</v>
      </c>
    </row>
    <row r="4" ht="15.75" thickBot="1"/>
    <row r="5" spans="3:14" ht="15">
      <c r="C5" s="133"/>
      <c r="D5" s="332" t="s">
        <v>268</v>
      </c>
      <c r="E5" s="333"/>
      <c r="F5" s="333"/>
      <c r="G5" s="333"/>
      <c r="H5" s="334"/>
      <c r="I5" s="357" t="s">
        <v>270</v>
      </c>
      <c r="J5" s="357"/>
      <c r="K5" s="357"/>
      <c r="L5" s="357"/>
      <c r="M5" s="357"/>
      <c r="N5" s="357"/>
    </row>
    <row r="6" spans="3:14" ht="15.75" thickBot="1">
      <c r="C6" s="133"/>
      <c r="D6" s="359" t="s">
        <v>189</v>
      </c>
      <c r="E6" s="286"/>
      <c r="F6" s="286"/>
      <c r="G6" s="286"/>
      <c r="H6" s="287"/>
      <c r="I6" s="357"/>
      <c r="J6" s="357"/>
      <c r="K6" s="357"/>
      <c r="L6" s="357"/>
      <c r="M6" s="357"/>
      <c r="N6" s="357"/>
    </row>
    <row r="7" spans="3:14" ht="15">
      <c r="C7" s="38" t="s">
        <v>183</v>
      </c>
      <c r="D7" s="3" t="s">
        <v>184</v>
      </c>
      <c r="E7" s="3" t="s">
        <v>185</v>
      </c>
      <c r="F7" s="3" t="s">
        <v>186</v>
      </c>
      <c r="G7" s="3" t="s">
        <v>187</v>
      </c>
      <c r="H7" s="124" t="s">
        <v>188</v>
      </c>
      <c r="I7" s="357"/>
      <c r="J7" s="357"/>
      <c r="K7" s="357"/>
      <c r="L7" s="357"/>
      <c r="M7" s="357"/>
      <c r="N7" s="357"/>
    </row>
    <row r="8" spans="3:14" ht="15">
      <c r="C8" s="5">
        <v>1</v>
      </c>
      <c r="D8" s="157">
        <f>C8*'Default values'!D84</f>
        <v>43.83561643835616</v>
      </c>
      <c r="E8" s="157">
        <f>C8*'Default values'!D85</f>
        <v>71.23287671232876</v>
      </c>
      <c r="F8" s="157">
        <f>C8*'Default values'!D86</f>
        <v>142.46575342465752</v>
      </c>
      <c r="G8" s="157">
        <f>C8*'Default values'!D87</f>
        <v>0</v>
      </c>
      <c r="H8" s="139">
        <f>C8*'Default values'!D88</f>
        <v>0</v>
      </c>
      <c r="I8" s="357"/>
      <c r="J8" s="357"/>
      <c r="K8" s="357"/>
      <c r="L8" s="357"/>
      <c r="M8" s="357"/>
      <c r="N8" s="357"/>
    </row>
    <row r="9" spans="3:14" ht="15">
      <c r="C9" s="5">
        <v>2</v>
      </c>
      <c r="D9" s="157">
        <f>C9*D8</f>
        <v>87.67123287671232</v>
      </c>
      <c r="E9" s="157">
        <f>C9*E8</f>
        <v>142.46575342465752</v>
      </c>
      <c r="F9" s="157">
        <f>C9*F8</f>
        <v>284.93150684931504</v>
      </c>
      <c r="G9" s="157">
        <f>C9*G8</f>
        <v>0</v>
      </c>
      <c r="H9" s="139">
        <f>C9*H8</f>
        <v>0</v>
      </c>
      <c r="I9" s="357"/>
      <c r="J9" s="357"/>
      <c r="K9" s="357"/>
      <c r="L9" s="357"/>
      <c r="M9" s="357"/>
      <c r="N9" s="357"/>
    </row>
    <row r="10" spans="3:14" ht="15">
      <c r="C10" s="5">
        <v>3</v>
      </c>
      <c r="D10" s="157">
        <f>C10*D8</f>
        <v>131.50684931506848</v>
      </c>
      <c r="E10" s="157">
        <f>C10*E8</f>
        <v>213.69863013698628</v>
      </c>
      <c r="F10" s="157">
        <f>C10*F8</f>
        <v>427.39726027397256</v>
      </c>
      <c r="G10" s="157">
        <f>C10*G8</f>
        <v>0</v>
      </c>
      <c r="H10" s="139">
        <f>C10*H8</f>
        <v>0</v>
      </c>
      <c r="I10" s="357"/>
      <c r="J10" s="357"/>
      <c r="K10" s="357"/>
      <c r="L10" s="357"/>
      <c r="M10" s="357"/>
      <c r="N10" s="357"/>
    </row>
    <row r="11" spans="3:14" ht="15">
      <c r="C11" s="5">
        <v>4</v>
      </c>
      <c r="D11" s="157">
        <f>C11*D8</f>
        <v>175.34246575342465</v>
      </c>
      <c r="E11" s="157">
        <f>C11*E8</f>
        <v>284.93150684931504</v>
      </c>
      <c r="F11" s="157">
        <f>C11*F8</f>
        <v>569.8630136986301</v>
      </c>
      <c r="G11" s="157">
        <f>C11*G8</f>
        <v>0</v>
      </c>
      <c r="H11" s="139">
        <f>C11*H8</f>
        <v>0</v>
      </c>
      <c r="I11" s="357"/>
      <c r="J11" s="357"/>
      <c r="K11" s="357"/>
      <c r="L11" s="357"/>
      <c r="M11" s="357"/>
      <c r="N11" s="357"/>
    </row>
    <row r="12" spans="3:14" ht="15">
      <c r="C12" s="5">
        <v>5</v>
      </c>
      <c r="D12" s="162">
        <f>C12*D8</f>
        <v>219.17808219178082</v>
      </c>
      <c r="E12" s="162">
        <f>C12*E8</f>
        <v>356.16438356164383</v>
      </c>
      <c r="F12" s="162">
        <f>C12*F8</f>
        <v>712.3287671232877</v>
      </c>
      <c r="G12" s="162">
        <f>C12*G8</f>
        <v>0</v>
      </c>
      <c r="H12" s="163">
        <f>C12*H8</f>
        <v>0</v>
      </c>
      <c r="I12" s="357"/>
      <c r="J12" s="357"/>
      <c r="K12" s="357"/>
      <c r="L12" s="357"/>
      <c r="M12" s="357"/>
      <c r="N12" s="357"/>
    </row>
    <row r="13" spans="3:14" ht="15.75" thickBot="1">
      <c r="C13" s="15" t="s">
        <v>190</v>
      </c>
      <c r="D13" s="53" t="e">
        <f>IF('Default values'!G100&lt;D8,C8,IF('Default values'!G100&lt;D9,C9,IF('Default values'!G100&lt;D10,C10,IF('Default values'!G100&lt;D11,C11,IF('Default values'!G100&lt;D12,C12,0)))))</f>
        <v>#VALUE!</v>
      </c>
      <c r="E13" s="53" t="e">
        <f>IF('Default values'!G100&lt;E8,C8,IF('Default values'!G100&lt;E9,C9,IF('Default values'!G100&lt;E10,C10,IF('Default values'!G100&lt;E11,C11,IF('Default values'!G100&lt;E12,C12,0)))))</f>
        <v>#VALUE!</v>
      </c>
      <c r="F13" s="53" t="e">
        <f>IF('Default values'!G100&lt;F8,C8,IF('Default values'!G100&lt;F9,C9,IF('Default values'!G100&lt;F10,C10,IF('Default values'!G100&lt;F11,C11,IF('Default values'!G100&lt;F12,C12,0)))))</f>
        <v>#VALUE!</v>
      </c>
      <c r="G13" s="53" t="e">
        <f>IF('Default values'!G100&lt;G8,C8,IF('Default values'!G100&lt;G9,C9,IF('Default values'!G100&lt;G10,C10,IF('Default values'!G100&lt;G11,C11,IF('Default values'!G100&lt;G12,C12,0)))))</f>
        <v>#VALUE!</v>
      </c>
      <c r="H13" s="48" t="e">
        <f>IF('Default values'!G100&lt;H8,C8,IF('Default values'!G100&lt;H9,C9,IF('Default values'!G100&lt;H10,C10,IF('Default values'!G100&lt;H11,C11,IF('Default values'!G100&lt;H12,C12,0)))))</f>
        <v>#VALUE!</v>
      </c>
      <c r="I13" s="357"/>
      <c r="J13" s="357"/>
      <c r="K13" s="357"/>
      <c r="L13" s="357"/>
      <c r="M13" s="357"/>
      <c r="N13" s="357"/>
    </row>
    <row r="14" spans="3:14" ht="15.75" thickBot="1">
      <c r="C14" s="133"/>
      <c r="D14" s="133"/>
      <c r="E14" s="133"/>
      <c r="F14" s="133"/>
      <c r="G14" s="133"/>
      <c r="H14" s="133"/>
      <c r="I14" s="358"/>
      <c r="J14" s="358"/>
      <c r="K14" s="358"/>
      <c r="L14" s="358"/>
      <c r="M14" s="358"/>
      <c r="N14" s="358"/>
    </row>
    <row r="15" spans="3:14" ht="15.75" thickBot="1">
      <c r="C15" s="133"/>
      <c r="D15" s="352" t="s">
        <v>269</v>
      </c>
      <c r="E15" s="353"/>
      <c r="F15" s="353"/>
      <c r="G15" s="353"/>
      <c r="H15" s="353"/>
      <c r="I15" s="353"/>
      <c r="J15" s="353"/>
      <c r="K15" s="353"/>
      <c r="L15" s="353"/>
      <c r="M15" s="353"/>
      <c r="N15" s="354"/>
    </row>
    <row r="16" spans="3:14" ht="15">
      <c r="C16" s="355" t="s">
        <v>192</v>
      </c>
      <c r="D16" s="316" t="s">
        <v>193</v>
      </c>
      <c r="E16" s="316" t="s">
        <v>194</v>
      </c>
      <c r="F16" s="316" t="s">
        <v>195</v>
      </c>
      <c r="G16" s="316" t="str">
        <f>'Default values'!K7</f>
        <v>Throughput rate</v>
      </c>
      <c r="H16" s="316" t="str">
        <f>'Default values'!E7</f>
        <v>Capex</v>
      </c>
      <c r="I16" s="316" t="str">
        <f>'Default values'!F7</f>
        <v>Installation cost</v>
      </c>
      <c r="J16" s="316" t="str">
        <f>'Default values'!G7</f>
        <v>Maintenance cost</v>
      </c>
      <c r="K16" s="316" t="s">
        <v>276</v>
      </c>
      <c r="L16" s="316" t="str">
        <f>'Default values'!H7</f>
        <v>Electrical power</v>
      </c>
      <c r="M16" s="316" t="str">
        <f>'Default values'!I7</f>
        <v>Water use</v>
      </c>
      <c r="N16" s="318" t="s">
        <v>196</v>
      </c>
    </row>
    <row r="17" spans="3:14" ht="15">
      <c r="C17" s="356"/>
      <c r="D17" s="316"/>
      <c r="E17" s="316"/>
      <c r="F17" s="316"/>
      <c r="G17" s="316"/>
      <c r="H17" s="316"/>
      <c r="I17" s="316"/>
      <c r="J17" s="316"/>
      <c r="K17" s="316"/>
      <c r="L17" s="316"/>
      <c r="M17" s="316"/>
      <c r="N17" s="318"/>
    </row>
    <row r="18" spans="3:14" ht="15">
      <c r="C18" s="356"/>
      <c r="D18" s="316"/>
      <c r="E18" s="164" t="s">
        <v>79</v>
      </c>
      <c r="F18" s="164" t="str">
        <f>E18</f>
        <v>kg/d</v>
      </c>
      <c r="G18" s="164" t="s">
        <v>260</v>
      </c>
      <c r="H18" s="164" t="s">
        <v>64</v>
      </c>
      <c r="I18" s="164" t="s">
        <v>64</v>
      </c>
      <c r="J18" s="164" t="s">
        <v>71</v>
      </c>
      <c r="K18" s="64" t="s">
        <v>71</v>
      </c>
      <c r="L18" s="164" t="s">
        <v>66</v>
      </c>
      <c r="M18" s="164" t="s">
        <v>262</v>
      </c>
      <c r="N18" s="318"/>
    </row>
    <row r="19" spans="3:14" ht="15">
      <c r="C19" s="5">
        <v>1</v>
      </c>
      <c r="D19" s="50" t="e">
        <f>D13</f>
        <v>#VALUE!</v>
      </c>
      <c r="E19" s="157">
        <f>D8</f>
        <v>43.83561643835616</v>
      </c>
      <c r="F19" s="157" t="e">
        <f>D19*E19</f>
        <v>#VALUE!</v>
      </c>
      <c r="G19" s="50" t="e">
        <f>D19*VLOOKUP(E19,'Default values'!D84:K88,8,FALSE)</f>
        <v>#VALUE!</v>
      </c>
      <c r="H19" s="50" t="e">
        <f>D19*VLOOKUP(E19,'Default values'!D84:K88,2,FALSE)</f>
        <v>#VALUE!</v>
      </c>
      <c r="I19" s="50" t="e">
        <f>D19*VLOOKUP(E19,'Default values'!D84:K88,3,FALSE)</f>
        <v>#VALUE!</v>
      </c>
      <c r="J19" s="50" t="e">
        <f>D19*VLOOKUP(E19,'Default values'!D84:K88,4,FALSE)</f>
        <v>#VALUE!</v>
      </c>
      <c r="K19" s="50" t="e">
        <f>D19*VLOOKUP(E19,'Default values'!D84:K88,5,FALSE)</f>
        <v>#VALUE!</v>
      </c>
      <c r="L19" s="50" t="e">
        <f>D19*VLOOKUP(E19,'Default values'!D84:K88,6,FALSE)</f>
        <v>#VALUE!</v>
      </c>
      <c r="M19" s="50" t="e">
        <f>D19*VLOOKUP(E19,'Default values'!D84:K88,7,FALSE)</f>
        <v>#VALUE!</v>
      </c>
      <c r="N19" s="47">
        <f>C19</f>
        <v>1</v>
      </c>
    </row>
    <row r="20" spans="3:14" ht="15">
      <c r="C20" s="5">
        <v>2</v>
      </c>
      <c r="D20" s="50" t="e">
        <f>E13</f>
        <v>#VALUE!</v>
      </c>
      <c r="E20" s="157">
        <f>E8</f>
        <v>71.23287671232876</v>
      </c>
      <c r="F20" s="157" t="e">
        <f>D20*E20</f>
        <v>#VALUE!</v>
      </c>
      <c r="G20" s="50" t="e">
        <f>D20*VLOOKUP(E20,'Default values'!D84:K88,8,FALSE)</f>
        <v>#VALUE!</v>
      </c>
      <c r="H20" s="50" t="e">
        <f>D20*VLOOKUP(E20,'Default values'!D84:K88,2,FALSE)</f>
        <v>#VALUE!</v>
      </c>
      <c r="I20" s="50" t="e">
        <f>D20*VLOOKUP(E20,'Default values'!D84:K88,3,FALSE)</f>
        <v>#VALUE!</v>
      </c>
      <c r="J20" s="50" t="e">
        <f>D20*VLOOKUP(E20,'Default values'!D84:K88,4,FALSE)</f>
        <v>#VALUE!</v>
      </c>
      <c r="K20" s="50" t="e">
        <f>D20*VLOOKUP(E20,'Default values'!D84:K88,5,FALSE)</f>
        <v>#VALUE!</v>
      </c>
      <c r="L20" s="50" t="e">
        <f>D20*VLOOKUP(E20,'Default values'!D84:K88,6,FALSE)</f>
        <v>#VALUE!</v>
      </c>
      <c r="M20" s="50" t="e">
        <f>D20*VLOOKUP(E20,'Default values'!D84:K88,7,FALSE)</f>
        <v>#VALUE!</v>
      </c>
      <c r="N20" s="47">
        <f>C20</f>
        <v>2</v>
      </c>
    </row>
    <row r="21" spans="3:14" ht="15">
      <c r="C21" s="5">
        <v>3</v>
      </c>
      <c r="D21" s="50" t="e">
        <f>F13</f>
        <v>#VALUE!</v>
      </c>
      <c r="E21" s="157">
        <f>F8</f>
        <v>142.46575342465752</v>
      </c>
      <c r="F21" s="157" t="e">
        <f>D21*E21</f>
        <v>#VALUE!</v>
      </c>
      <c r="G21" s="50" t="e">
        <f>D21*VLOOKUP(E21,'Default values'!D84:K88,8,FALSE)</f>
        <v>#VALUE!</v>
      </c>
      <c r="H21" s="50" t="e">
        <f>D21*VLOOKUP(E21,'Default values'!D84:K88,2,FALSE)</f>
        <v>#VALUE!</v>
      </c>
      <c r="I21" s="50" t="e">
        <f>D21*VLOOKUP(E21,'Default values'!D84:K88,3,FALSE)</f>
        <v>#VALUE!</v>
      </c>
      <c r="J21" s="50" t="e">
        <f>D21*VLOOKUP(E21,'Default values'!D84:K88,4,FALSE)</f>
        <v>#VALUE!</v>
      </c>
      <c r="K21" s="50" t="e">
        <f>D21*VLOOKUP(E21,'Default values'!D84:K88,5,FALSE)</f>
        <v>#VALUE!</v>
      </c>
      <c r="L21" s="50" t="e">
        <f>D21*VLOOKUP(E21,'Default values'!D84:K88,6,FALSE)</f>
        <v>#VALUE!</v>
      </c>
      <c r="M21" s="50" t="e">
        <f>D21*VLOOKUP(E21,'Default values'!D84:K88,7,FALSE)</f>
        <v>#VALUE!</v>
      </c>
      <c r="N21" s="47">
        <f>C21</f>
        <v>3</v>
      </c>
    </row>
    <row r="22" spans="3:14" ht="15">
      <c r="C22" s="5">
        <v>4</v>
      </c>
      <c r="D22" s="50" t="e">
        <f>G13</f>
        <v>#VALUE!</v>
      </c>
      <c r="E22" s="157">
        <f>G8</f>
        <v>0</v>
      </c>
      <c r="F22" s="157" t="e">
        <f>D22*E22</f>
        <v>#VALUE!</v>
      </c>
      <c r="G22" s="50" t="e">
        <f>D22*VLOOKUP(E22,'Default values'!D84:K88,8,FALSE)</f>
        <v>#VALUE!</v>
      </c>
      <c r="H22" s="50" t="e">
        <f>D22*VLOOKUP(E22,'Default values'!D84:K88,2,FALSE)</f>
        <v>#VALUE!</v>
      </c>
      <c r="I22" s="50" t="e">
        <f>D22*VLOOKUP(E22,'Default values'!D84:K88,3,FALSE)</f>
        <v>#VALUE!</v>
      </c>
      <c r="J22" s="50" t="e">
        <f>D22*VLOOKUP(E22,'Default values'!D84:K88,4,FALSE)</f>
        <v>#VALUE!</v>
      </c>
      <c r="K22" s="50" t="e">
        <f>D22*VLOOKUP(E22,'Default values'!D84:K88,5,FALSE)</f>
        <v>#VALUE!</v>
      </c>
      <c r="L22" s="50" t="e">
        <f>D22*VLOOKUP(E22,'Default values'!D84:K88,6,FALSE)</f>
        <v>#VALUE!</v>
      </c>
      <c r="M22" s="50" t="e">
        <f>D22*VLOOKUP(E22,'Default values'!D84:K88,7,FALSE)</f>
        <v>#VALUE!</v>
      </c>
      <c r="N22" s="47">
        <f>C22</f>
        <v>4</v>
      </c>
    </row>
    <row r="23" spans="3:14" ht="15.75" thickBot="1">
      <c r="C23" s="6">
        <v>5</v>
      </c>
      <c r="D23" s="53" t="e">
        <f>H13</f>
        <v>#VALUE!</v>
      </c>
      <c r="E23" s="158">
        <f>H8</f>
        <v>0</v>
      </c>
      <c r="F23" s="158" t="e">
        <f>D23*E23</f>
        <v>#VALUE!</v>
      </c>
      <c r="G23" s="53" t="e">
        <f>D23*VLOOKUP(E23,'Default values'!D84:K88,8,FALSE)</f>
        <v>#VALUE!</v>
      </c>
      <c r="H23" s="53" t="e">
        <f>D23*VLOOKUP(E23,'Default values'!D84:K88,2,FALSE)</f>
        <v>#VALUE!</v>
      </c>
      <c r="I23" s="53" t="e">
        <f>D23*VLOOKUP(E23,'Default values'!D84:K88,3,FALSE)</f>
        <v>#VALUE!</v>
      </c>
      <c r="J23" s="53" t="e">
        <f>D23*VLOOKUP(E23,'Default values'!D84:K88,4,FALSE)</f>
        <v>#VALUE!</v>
      </c>
      <c r="K23" s="53" t="e">
        <f>D23*VLOOKUP(E23,'Default values'!D84:K88,5,FALSE)</f>
        <v>#VALUE!</v>
      </c>
      <c r="L23" s="53" t="e">
        <f>D23*VLOOKUP(E23,'Default values'!D84:K88,6,FALSE)</f>
        <v>#VALUE!</v>
      </c>
      <c r="M23" s="53" t="e">
        <f>D23*VLOOKUP(E23,'Default values'!D84:K88,7,FALSE)</f>
        <v>#VALUE!</v>
      </c>
      <c r="N23" s="48">
        <f>C23</f>
        <v>5</v>
      </c>
    </row>
    <row r="24" spans="3:14" ht="15.75" thickBot="1">
      <c r="C24" s="133"/>
      <c r="D24" s="133"/>
      <c r="E24" s="133"/>
      <c r="F24" s="133"/>
      <c r="G24" s="133"/>
      <c r="H24" s="133"/>
      <c r="I24" s="133"/>
      <c r="J24" s="133"/>
      <c r="K24" s="133"/>
      <c r="L24" s="133"/>
      <c r="M24" s="133"/>
      <c r="N24" s="133"/>
    </row>
    <row r="25" spans="3:14" ht="15.75" thickBot="1">
      <c r="C25" s="347" t="s">
        <v>271</v>
      </c>
      <c r="D25" s="348"/>
      <c r="E25" s="349"/>
      <c r="F25" s="350" t="s">
        <v>197</v>
      </c>
      <c r="G25" s="351"/>
      <c r="H25" s="127" t="e">
        <f>SMALL(H19:H23,COUNTIF(H19:H23,0)+1)</f>
        <v>#VALUE!</v>
      </c>
      <c r="I25" s="149" t="s">
        <v>198</v>
      </c>
      <c r="J25" s="127" t="e">
        <f>VLOOKUP(H25,H19:N23,7,FALSE)</f>
        <v>#VALUE!</v>
      </c>
      <c r="K25" s="133"/>
      <c r="L25" s="133"/>
      <c r="M25" s="133"/>
      <c r="N25" s="133"/>
    </row>
    <row r="26" ht="15.75" thickBot="1"/>
    <row r="27" spans="3:14" ht="15">
      <c r="C27" s="133"/>
      <c r="D27" s="332" t="s">
        <v>272</v>
      </c>
      <c r="E27" s="333"/>
      <c r="F27" s="333"/>
      <c r="G27" s="333"/>
      <c r="H27" s="334"/>
      <c r="I27" s="357" t="s">
        <v>273</v>
      </c>
      <c r="J27" s="357"/>
      <c r="K27" s="357"/>
      <c r="L27" s="357"/>
      <c r="M27" s="357"/>
      <c r="N27" s="357"/>
    </row>
    <row r="28" spans="3:14" ht="15.75" thickBot="1">
      <c r="C28" s="133"/>
      <c r="D28" s="359" t="s">
        <v>189</v>
      </c>
      <c r="E28" s="286"/>
      <c r="F28" s="286"/>
      <c r="G28" s="286"/>
      <c r="H28" s="287"/>
      <c r="I28" s="357"/>
      <c r="J28" s="357"/>
      <c r="K28" s="357"/>
      <c r="L28" s="357"/>
      <c r="M28" s="357"/>
      <c r="N28" s="357"/>
    </row>
    <row r="29" spans="3:14" ht="15">
      <c r="C29" s="38" t="s">
        <v>183</v>
      </c>
      <c r="D29" s="3" t="s">
        <v>184</v>
      </c>
      <c r="E29" s="3" t="s">
        <v>185</v>
      </c>
      <c r="F29" s="3" t="s">
        <v>186</v>
      </c>
      <c r="G29" s="3" t="s">
        <v>187</v>
      </c>
      <c r="H29" s="124" t="s">
        <v>188</v>
      </c>
      <c r="I29" s="357"/>
      <c r="J29" s="357"/>
      <c r="K29" s="357"/>
      <c r="L29" s="357"/>
      <c r="M29" s="357"/>
      <c r="N29" s="357"/>
    </row>
    <row r="30" spans="3:14" ht="15">
      <c r="C30" s="5">
        <v>1</v>
      </c>
      <c r="D30" s="50">
        <f>C30*'Default values'!D94</f>
        <v>500</v>
      </c>
      <c r="E30" s="50">
        <f>C30*'Default values'!D95</f>
        <v>500</v>
      </c>
      <c r="F30" s="50">
        <f>C30*'Default values'!D96</f>
        <v>1000</v>
      </c>
      <c r="G30" s="50">
        <f>C30*'Default values'!D97</f>
        <v>2000</v>
      </c>
      <c r="H30" s="47">
        <f>C30*'Default values'!D98</f>
        <v>0</v>
      </c>
      <c r="I30" s="357"/>
      <c r="J30" s="357"/>
      <c r="K30" s="357"/>
      <c r="L30" s="357"/>
      <c r="M30" s="357"/>
      <c r="N30" s="357"/>
    </row>
    <row r="31" spans="3:14" ht="15">
      <c r="C31" s="5">
        <v>2</v>
      </c>
      <c r="D31" s="50">
        <f>C31*D30</f>
        <v>1000</v>
      </c>
      <c r="E31" s="50">
        <f>C31*E30</f>
        <v>1000</v>
      </c>
      <c r="F31" s="50">
        <f>C31*F30</f>
        <v>2000</v>
      </c>
      <c r="G31" s="50">
        <f>C31*G30</f>
        <v>4000</v>
      </c>
      <c r="H31" s="47">
        <f>C31*H30</f>
        <v>0</v>
      </c>
      <c r="I31" s="357"/>
      <c r="J31" s="357"/>
      <c r="K31" s="357"/>
      <c r="L31" s="357"/>
      <c r="M31" s="357"/>
      <c r="N31" s="357"/>
    </row>
    <row r="32" spans="3:14" ht="15">
      <c r="C32" s="5">
        <v>3</v>
      </c>
      <c r="D32" s="50">
        <f>C32*D30</f>
        <v>1500</v>
      </c>
      <c r="E32" s="50">
        <f>C32*E30</f>
        <v>1500</v>
      </c>
      <c r="F32" s="50">
        <f>C32*F30</f>
        <v>3000</v>
      </c>
      <c r="G32" s="50">
        <f>C32*G30</f>
        <v>6000</v>
      </c>
      <c r="H32" s="47">
        <f>C32*H30</f>
        <v>0</v>
      </c>
      <c r="I32" s="357"/>
      <c r="J32" s="357"/>
      <c r="K32" s="357"/>
      <c r="L32" s="357"/>
      <c r="M32" s="357"/>
      <c r="N32" s="357"/>
    </row>
    <row r="33" spans="3:14" ht="15">
      <c r="C33" s="5">
        <v>4</v>
      </c>
      <c r="D33" s="50">
        <f>C33*D30</f>
        <v>2000</v>
      </c>
      <c r="E33" s="50">
        <f>C33*E30</f>
        <v>2000</v>
      </c>
      <c r="F33" s="50">
        <f>C33*F30</f>
        <v>4000</v>
      </c>
      <c r="G33" s="50">
        <f>C33*G30</f>
        <v>8000</v>
      </c>
      <c r="H33" s="47">
        <f>C33*H30</f>
        <v>0</v>
      </c>
      <c r="I33" s="357"/>
      <c r="J33" s="357"/>
      <c r="K33" s="357"/>
      <c r="L33" s="357"/>
      <c r="M33" s="357"/>
      <c r="N33" s="357"/>
    </row>
    <row r="34" spans="3:14" ht="15">
      <c r="C34" s="5">
        <v>5</v>
      </c>
      <c r="D34" s="52">
        <f>C34*D30</f>
        <v>2500</v>
      </c>
      <c r="E34" s="52">
        <f>C34*E30</f>
        <v>2500</v>
      </c>
      <c r="F34" s="52">
        <f>C34*F30</f>
        <v>5000</v>
      </c>
      <c r="G34" s="52">
        <f>C34*G30</f>
        <v>10000</v>
      </c>
      <c r="H34" s="125">
        <f>C34*H30</f>
        <v>0</v>
      </c>
      <c r="I34" s="357"/>
      <c r="J34" s="357"/>
      <c r="K34" s="357"/>
      <c r="L34" s="357"/>
      <c r="M34" s="357"/>
      <c r="N34" s="357"/>
    </row>
    <row r="35" spans="3:14" ht="15.75" thickBot="1">
      <c r="C35" s="15" t="s">
        <v>190</v>
      </c>
      <c r="D35" s="53" t="e">
        <f>IF('Default values'!$G$100&lt;D30,C30,IF('Default values'!$G$100&lt;D31,C31,IF('Default values'!$G$100&lt;D32,C32,IF('Default values'!$G$100&lt;D33,C33,IF('Default values'!$G$100&lt;D34,C34,0)))))</f>
        <v>#VALUE!</v>
      </c>
      <c r="E35" s="53" t="e">
        <f>IF('Default values'!$G$100&lt;E30,C30,IF('Default values'!$G$100&lt;E31,C31,IF('Default values'!$G$100&lt;E32,C32,IF('Default values'!$G$100&lt;E33,C33,IF('Default values'!$G$100&lt;E34,C34,0)))))</f>
        <v>#VALUE!</v>
      </c>
      <c r="F35" s="53" t="e">
        <f>IF('Default values'!$G$100&lt;F30,C30,IF('Default values'!$G$100&lt;F31,C31,IF('Default values'!$G$100&lt;F32,C32,IF('Default values'!$G$100&lt;F33,C33,IF('Default values'!$G$100&lt;F34,C34,0)))))</f>
        <v>#VALUE!</v>
      </c>
      <c r="G35" s="53" t="e">
        <f>IF('Default values'!$G$100&lt;G30,C30,IF('Default values'!$G$100&lt;G31,C31,IF('Default values'!$G$100&lt;G32,C32,IF('Default values'!$G$100&lt;G33,C33,IF('Default values'!$G$100&lt;G34,C34,0)))))</f>
        <v>#VALUE!</v>
      </c>
      <c r="H35" s="48" t="e">
        <f>IF('Default values'!$G$100&lt;H30,C30,IF('Default values'!$G$100&lt;H31,C31,IF('Default values'!$G$100&lt;H32,C32,IF('Default values'!$G$100&lt;H33,C33,IF('Default values'!$G$100&lt;H34,C34,0)))))</f>
        <v>#VALUE!</v>
      </c>
      <c r="I35" s="357"/>
      <c r="J35" s="357"/>
      <c r="K35" s="357"/>
      <c r="L35" s="357"/>
      <c r="M35" s="357"/>
      <c r="N35" s="357"/>
    </row>
    <row r="36" spans="3:14" ht="15.75" thickBot="1">
      <c r="C36" s="133"/>
      <c r="D36" s="133"/>
      <c r="E36" s="133"/>
      <c r="F36" s="133"/>
      <c r="G36" s="133"/>
      <c r="H36" s="133"/>
      <c r="I36" s="358"/>
      <c r="J36" s="358"/>
      <c r="K36" s="358"/>
      <c r="L36" s="358"/>
      <c r="M36" s="358"/>
      <c r="N36" s="358"/>
    </row>
    <row r="37" spans="3:14" ht="15.75" thickBot="1">
      <c r="C37" s="133"/>
      <c r="D37" s="352" t="s">
        <v>274</v>
      </c>
      <c r="E37" s="353"/>
      <c r="F37" s="353"/>
      <c r="G37" s="353"/>
      <c r="H37" s="353"/>
      <c r="I37" s="353"/>
      <c r="J37" s="353"/>
      <c r="K37" s="353"/>
      <c r="L37" s="353"/>
      <c r="M37" s="353"/>
      <c r="N37" s="354"/>
    </row>
    <row r="38" spans="3:14" ht="15">
      <c r="C38" s="355" t="s">
        <v>192</v>
      </c>
      <c r="D38" s="316" t="s">
        <v>193</v>
      </c>
      <c r="E38" s="316" t="s">
        <v>194</v>
      </c>
      <c r="F38" s="316" t="s">
        <v>195</v>
      </c>
      <c r="G38" s="316" t="str">
        <f>'Default values'!K17</f>
        <v>Throughput rate</v>
      </c>
      <c r="H38" s="316" t="str">
        <f>'Default values'!E17</f>
        <v>Capex</v>
      </c>
      <c r="I38" s="316" t="str">
        <f>'Default values'!F17</f>
        <v>Installation cost</v>
      </c>
      <c r="J38" s="316" t="str">
        <f>'Default values'!G17</f>
        <v>Maintenance cost</v>
      </c>
      <c r="K38" s="316" t="s">
        <v>276</v>
      </c>
      <c r="L38" s="316" t="str">
        <f>'Default values'!H17</f>
        <v>Electrical power</v>
      </c>
      <c r="M38" s="316" t="str">
        <f>'Default values'!I17</f>
        <v>Water use</v>
      </c>
      <c r="N38" s="318" t="s">
        <v>196</v>
      </c>
    </row>
    <row r="39" spans="3:14" ht="15">
      <c r="C39" s="356"/>
      <c r="D39" s="316"/>
      <c r="E39" s="316"/>
      <c r="F39" s="316"/>
      <c r="G39" s="316"/>
      <c r="H39" s="316"/>
      <c r="I39" s="316"/>
      <c r="J39" s="316"/>
      <c r="K39" s="316"/>
      <c r="L39" s="316"/>
      <c r="M39" s="316"/>
      <c r="N39" s="318"/>
    </row>
    <row r="40" spans="3:14" ht="15">
      <c r="C40" s="356"/>
      <c r="D40" s="316"/>
      <c r="E40" s="3" t="s">
        <v>79</v>
      </c>
      <c r="F40" s="3" t="str">
        <f>E40</f>
        <v>kg/d</v>
      </c>
      <c r="G40" s="3" t="s">
        <v>260</v>
      </c>
      <c r="H40" s="3" t="s">
        <v>64</v>
      </c>
      <c r="I40" s="3" t="s">
        <v>64</v>
      </c>
      <c r="J40" s="3" t="s">
        <v>71</v>
      </c>
      <c r="K40" t="s">
        <v>71</v>
      </c>
      <c r="L40" s="3" t="s">
        <v>66</v>
      </c>
      <c r="M40" s="3" t="s">
        <v>262</v>
      </c>
      <c r="N40" s="318"/>
    </row>
    <row r="41" spans="3:14" ht="15">
      <c r="C41" s="5">
        <v>1</v>
      </c>
      <c r="D41" s="50" t="e">
        <f>D35</f>
        <v>#VALUE!</v>
      </c>
      <c r="E41" s="50">
        <f>D30</f>
        <v>500</v>
      </c>
      <c r="F41" s="50" t="e">
        <f>D41*E41</f>
        <v>#VALUE!</v>
      </c>
      <c r="G41" s="50" t="e">
        <f>D41*VLOOKUP(E41,'Default values'!D94:K98,8,FALSE)</f>
        <v>#VALUE!</v>
      </c>
      <c r="H41" s="50" t="e">
        <f>D41*VLOOKUP(E41,'Default values'!D94:K98,2,FALSE)</f>
        <v>#VALUE!</v>
      </c>
      <c r="I41" s="50" t="e">
        <f>D41*VLOOKUP(E41,'Default values'!D94:K98,3,FALSE)</f>
        <v>#VALUE!</v>
      </c>
      <c r="J41" s="50" t="e">
        <f>D41*VLOOKUP(E41,'Default values'!D94:K98,4,FALSE)</f>
        <v>#VALUE!</v>
      </c>
      <c r="K41" s="50" t="e">
        <f>D41*VLOOKUP(E41,'Default values'!D94:K98,5,FALSE)</f>
        <v>#VALUE!</v>
      </c>
      <c r="L41" s="155" t="e">
        <f>D41*VLOOKUP(E41,'Default values'!D94:K98,6,FALSE)</f>
        <v>#VALUE!</v>
      </c>
      <c r="M41" s="50" t="e">
        <f>D41*VLOOKUP(E41,'Default values'!D94:K98,7,FALSE)</f>
        <v>#VALUE!</v>
      </c>
      <c r="N41" s="47">
        <f>C41</f>
        <v>1</v>
      </c>
    </row>
    <row r="42" spans="3:14" ht="15">
      <c r="C42" s="5">
        <v>2</v>
      </c>
      <c r="D42" s="50" t="e">
        <f>E35</f>
        <v>#VALUE!</v>
      </c>
      <c r="E42" s="50">
        <f>E30</f>
        <v>500</v>
      </c>
      <c r="F42" s="50" t="e">
        <f>D42*E42</f>
        <v>#VALUE!</v>
      </c>
      <c r="G42" s="50" t="e">
        <f>D42*VLOOKUP(E42,'Default values'!D94:K98,8,FALSE)</f>
        <v>#VALUE!</v>
      </c>
      <c r="H42" s="50" t="e">
        <f>D42*VLOOKUP(E42,'Default values'!D94:K98,2,FALSE)</f>
        <v>#VALUE!</v>
      </c>
      <c r="I42" s="50" t="e">
        <f>D42*VLOOKUP(E42,'Default values'!D94:K98,3,FALSE)</f>
        <v>#VALUE!</v>
      </c>
      <c r="J42" s="50" t="e">
        <f>D42*VLOOKUP(E42,'Default values'!D94:K98,4,FALSE)</f>
        <v>#VALUE!</v>
      </c>
      <c r="K42" s="50" t="e">
        <f>D42*VLOOKUP(E42,'Default values'!D94:K98,5,FALSE)</f>
        <v>#VALUE!</v>
      </c>
      <c r="L42" s="155" t="e">
        <f>D42*VLOOKUP(E42,'Default values'!D94:K98,6,FALSE)</f>
        <v>#VALUE!</v>
      </c>
      <c r="M42" s="50" t="e">
        <f>D42*VLOOKUP(E42,'Default values'!D94:K98,7,FALSE)</f>
        <v>#VALUE!</v>
      </c>
      <c r="N42" s="47">
        <f>C42</f>
        <v>2</v>
      </c>
    </row>
    <row r="43" spans="3:14" ht="15">
      <c r="C43" s="5">
        <v>3</v>
      </c>
      <c r="D43" s="50" t="e">
        <f>F35</f>
        <v>#VALUE!</v>
      </c>
      <c r="E43" s="50">
        <f>F30</f>
        <v>1000</v>
      </c>
      <c r="F43" s="50" t="e">
        <f>D43*E43</f>
        <v>#VALUE!</v>
      </c>
      <c r="G43" s="50" t="e">
        <f>D43*VLOOKUP(E43,'Default values'!D94:K98,8,FALSE)</f>
        <v>#VALUE!</v>
      </c>
      <c r="H43" s="50" t="e">
        <f>D43*VLOOKUP(E43,'Default values'!D94:K98,2,FALSE)</f>
        <v>#VALUE!</v>
      </c>
      <c r="I43" s="50" t="e">
        <f>D43*VLOOKUP(E43,'Default values'!D94:K98,3,FALSE)</f>
        <v>#VALUE!</v>
      </c>
      <c r="J43" s="50" t="e">
        <f>D43*VLOOKUP(E43,'Default values'!D94:K98,4,FALSE)</f>
        <v>#VALUE!</v>
      </c>
      <c r="K43" s="50" t="e">
        <f>D43*VLOOKUP(E43,'Default values'!D94:K98,5,FALSE)</f>
        <v>#VALUE!</v>
      </c>
      <c r="L43" s="155" t="e">
        <f>D43*VLOOKUP(E43,'Default values'!D94:K98,6,FALSE)</f>
        <v>#VALUE!</v>
      </c>
      <c r="M43" s="50" t="e">
        <f>D43*VLOOKUP(E43,'Default values'!D94:K98,7,FALSE)</f>
        <v>#VALUE!</v>
      </c>
      <c r="N43" s="47">
        <f>C43</f>
        <v>3</v>
      </c>
    </row>
    <row r="44" spans="3:14" ht="15">
      <c r="C44" s="5">
        <v>4</v>
      </c>
      <c r="D44" s="50" t="e">
        <f>G35</f>
        <v>#VALUE!</v>
      </c>
      <c r="E44" s="50">
        <f>G30</f>
        <v>2000</v>
      </c>
      <c r="F44" s="50" t="e">
        <f>D44*E44</f>
        <v>#VALUE!</v>
      </c>
      <c r="G44" s="50" t="e">
        <f>D44*VLOOKUP(E44,'Default values'!D94:K98,8,FALSE)</f>
        <v>#VALUE!</v>
      </c>
      <c r="H44" s="50" t="e">
        <f>D44*VLOOKUP(E44,'Default values'!D94:K98,2,FALSE)</f>
        <v>#VALUE!</v>
      </c>
      <c r="I44" s="50" t="e">
        <f>D44*VLOOKUP(E44,'Default values'!D94:K98,3,FALSE)</f>
        <v>#VALUE!</v>
      </c>
      <c r="J44" s="50" t="e">
        <f>D44*VLOOKUP(E44,'Default values'!D94:K98,4,FALSE)</f>
        <v>#VALUE!</v>
      </c>
      <c r="K44" s="50" t="e">
        <f>D44*VLOOKUP(E44,'Default values'!D94:K98,5,FALSE)</f>
        <v>#VALUE!</v>
      </c>
      <c r="L44" s="155" t="e">
        <f>D44*VLOOKUP(E44,'Default values'!D94:K98,6,FALSE)</f>
        <v>#VALUE!</v>
      </c>
      <c r="M44" s="50" t="e">
        <f>D44*VLOOKUP(E44,'Default values'!D94:K98,7,FALSE)</f>
        <v>#VALUE!</v>
      </c>
      <c r="N44" s="47">
        <f>C44</f>
        <v>4</v>
      </c>
    </row>
    <row r="45" spans="3:14" ht="15.75" thickBot="1">
      <c r="C45" s="6">
        <v>5</v>
      </c>
      <c r="D45" s="53" t="e">
        <f>H35</f>
        <v>#VALUE!</v>
      </c>
      <c r="E45" s="53">
        <f>H30</f>
        <v>0</v>
      </c>
      <c r="F45" s="53" t="e">
        <f>D45*E45</f>
        <v>#VALUE!</v>
      </c>
      <c r="G45" s="53" t="e">
        <f>D45*VLOOKUP(E45,'Default values'!D94:K98,8,FALSE)</f>
        <v>#VALUE!</v>
      </c>
      <c r="H45" s="53" t="e">
        <f>D45*VLOOKUP(E45,'Default values'!D94:K98,2,FALSE)</f>
        <v>#VALUE!</v>
      </c>
      <c r="I45" s="53" t="e">
        <f>D45*VLOOKUP(E45,'Default values'!D94:K98,3,FALSE)</f>
        <v>#VALUE!</v>
      </c>
      <c r="J45" s="53" t="e">
        <f>D45*VLOOKUP(E45,'Default values'!D94:K98,4,FALSE)</f>
        <v>#VALUE!</v>
      </c>
      <c r="K45" s="53" t="e">
        <f>D45*VLOOKUP(E45,'Default values'!D94:K98,5,FALSE)</f>
        <v>#VALUE!</v>
      </c>
      <c r="L45" s="156" t="e">
        <f>D45*VLOOKUP(E45,'Default values'!D94:K98,6,FALSE)</f>
        <v>#VALUE!</v>
      </c>
      <c r="M45" s="53" t="e">
        <f>D45*VLOOKUP(E45,'Default values'!D94:K98,7,FALSE)</f>
        <v>#VALUE!</v>
      </c>
      <c r="N45" s="48">
        <f>C45</f>
        <v>5</v>
      </c>
    </row>
    <row r="46" spans="3:14" ht="15.75" thickBot="1">
      <c r="C46" s="133"/>
      <c r="D46" s="133"/>
      <c r="E46" s="133"/>
      <c r="F46" s="133"/>
      <c r="G46" s="133"/>
      <c r="H46" s="133"/>
      <c r="I46" s="133"/>
      <c r="J46" s="133"/>
      <c r="K46" s="133"/>
      <c r="L46" s="133"/>
      <c r="M46" s="133"/>
      <c r="N46" s="133"/>
    </row>
    <row r="47" spans="3:14" ht="15.75" thickBot="1">
      <c r="C47" s="347" t="s">
        <v>275</v>
      </c>
      <c r="D47" s="348"/>
      <c r="E47" s="349"/>
      <c r="F47" s="350" t="s">
        <v>197</v>
      </c>
      <c r="G47" s="351"/>
      <c r="H47" s="127" t="e">
        <f>SMALL(H41:H45,COUNTIF(H41:H45,0)+1)</f>
        <v>#VALUE!</v>
      </c>
      <c r="I47" s="149" t="s">
        <v>198</v>
      </c>
      <c r="J47" s="127" t="e">
        <f>VLOOKUP(H47,H41:N45,7,FALSE)</f>
        <v>#VALUE!</v>
      </c>
      <c r="K47" s="133"/>
      <c r="L47" s="133"/>
      <c r="M47" s="133"/>
      <c r="N47" s="133"/>
    </row>
  </sheetData>
  <sheetProtection sheet="1" objects="1" scenarios="1"/>
  <mergeCells count="38">
    <mergeCell ref="D15:N15"/>
    <mergeCell ref="C2:M2"/>
    <mergeCell ref="C3:F3"/>
    <mergeCell ref="D5:H5"/>
    <mergeCell ref="I5:N14"/>
    <mergeCell ref="D6:H6"/>
    <mergeCell ref="C16:C18"/>
    <mergeCell ref="D16:D18"/>
    <mergeCell ref="E16:E17"/>
    <mergeCell ref="F16:F17"/>
    <mergeCell ref="G16:G17"/>
    <mergeCell ref="H16:H17"/>
    <mergeCell ref="L38:L39"/>
    <mergeCell ref="M38:M39"/>
    <mergeCell ref="N38:N40"/>
    <mergeCell ref="C38:C40"/>
    <mergeCell ref="D38:D40"/>
    <mergeCell ref="E38:E39"/>
    <mergeCell ref="F38:F39"/>
    <mergeCell ref="G38:G39"/>
    <mergeCell ref="H38:H39"/>
    <mergeCell ref="D28:H28"/>
    <mergeCell ref="D37:N37"/>
    <mergeCell ref="I16:I17"/>
    <mergeCell ref="J16:J17"/>
    <mergeCell ref="L16:L17"/>
    <mergeCell ref="M16:M17"/>
    <mergeCell ref="N16:N18"/>
    <mergeCell ref="C47:E47"/>
    <mergeCell ref="F47:G47"/>
    <mergeCell ref="K16:K17"/>
    <mergeCell ref="K38:K39"/>
    <mergeCell ref="I38:I39"/>
    <mergeCell ref="J38:J39"/>
    <mergeCell ref="C25:E25"/>
    <mergeCell ref="F25:G25"/>
    <mergeCell ref="D27:H27"/>
    <mergeCell ref="I27:N36"/>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sheetPr codeName="Sheet10">
    <tabColor theme="5" tint="0.5999900102615356"/>
  </sheetPr>
  <dimension ref="C2:H34"/>
  <sheetViews>
    <sheetView zoomScalePageLayoutView="0" workbookViewId="0" topLeftCell="A1">
      <selection activeCell="F24" sqref="F24"/>
    </sheetView>
  </sheetViews>
  <sheetFormatPr defaultColWidth="9.140625" defaultRowHeight="15"/>
  <cols>
    <col min="1" max="1" width="9.140625" style="0" customWidth="1"/>
    <col min="2" max="2" width="2.8515625" style="0" customWidth="1"/>
    <col min="3" max="3" width="67.7109375" style="0" bestFit="1" customWidth="1"/>
    <col min="4" max="4" width="14.8515625" style="0" customWidth="1"/>
    <col min="5" max="5" width="9.140625" style="0" customWidth="1"/>
    <col min="6" max="6" width="58.00390625" style="0" customWidth="1"/>
    <col min="7" max="7" width="11.8515625" style="0" bestFit="1" customWidth="1"/>
  </cols>
  <sheetData>
    <row r="2" spans="3:6" ht="26.25">
      <c r="C2" s="320" t="str">
        <f>Inputs!C2</f>
        <v>Resource Efficient Scotland - Hospital food waste disposal calculator </v>
      </c>
      <c r="D2" s="320"/>
      <c r="E2" s="320"/>
      <c r="F2" s="320"/>
    </row>
    <row r="3" ht="21">
      <c r="C3" s="85" t="s">
        <v>86</v>
      </c>
    </row>
    <row r="4" ht="15">
      <c r="C4" s="1"/>
    </row>
    <row r="5" spans="3:7" ht="19.5" thickBot="1">
      <c r="C5" s="360" t="s">
        <v>87</v>
      </c>
      <c r="D5" s="360"/>
      <c r="F5" s="360" t="s">
        <v>88</v>
      </c>
      <c r="G5" s="360"/>
    </row>
    <row r="6" spans="3:7" ht="15">
      <c r="C6" s="273" t="s">
        <v>36</v>
      </c>
      <c r="D6" s="274"/>
      <c r="F6" s="273" t="s">
        <v>36</v>
      </c>
      <c r="G6" s="274"/>
    </row>
    <row r="7" spans="3:7" ht="15">
      <c r="C7" s="5" t="s">
        <v>233</v>
      </c>
      <c r="D7" s="97" t="e">
        <f>Inputs!F35*Inputs!F36*Inputs!F24</f>
        <v>#VALUE!</v>
      </c>
      <c r="E7" s="64"/>
      <c r="F7" s="5" t="s">
        <v>254</v>
      </c>
      <c r="G7" s="97" t="e">
        <f>Inputs!F96*Inputs!F97*Inputs!F24</f>
        <v>#VALUE!</v>
      </c>
    </row>
    <row r="8" spans="3:7" ht="15">
      <c r="C8" s="5" t="s">
        <v>234</v>
      </c>
      <c r="D8" s="97" t="e">
        <f>Inputs!F37*Inputs!F24</f>
        <v>#VALUE!</v>
      </c>
      <c r="E8" s="64"/>
      <c r="F8" s="5" t="s">
        <v>89</v>
      </c>
      <c r="G8" s="97" t="e">
        <f>Inputs!F101*Inputs!F96*Inputs!F24*Inputs!F95</f>
        <v>#VALUE!</v>
      </c>
    </row>
    <row r="9" spans="3:7" ht="15.75" thickBot="1">
      <c r="C9" s="5" t="s">
        <v>89</v>
      </c>
      <c r="D9" s="97" t="e">
        <f>Inputs!F41*Inputs!F34*Inputs!F24*Inputs!F33</f>
        <v>#VALUE!</v>
      </c>
      <c r="F9" s="6" t="s">
        <v>128</v>
      </c>
      <c r="G9" s="96" t="e">
        <f>Inputs!F102*Inputs!F96*Inputs!F24*Inputs!F95</f>
        <v>#VALUE!</v>
      </c>
    </row>
    <row r="10" spans="3:4" ht="15.75" thickBot="1">
      <c r="C10" s="6" t="s">
        <v>128</v>
      </c>
      <c r="D10" s="96" t="e">
        <f>Inputs!F42*Inputs!F34*Inputs!F24*Inputs!F33</f>
        <v>#VALUE!</v>
      </c>
    </row>
    <row r="11" ht="15.75" thickBot="1"/>
    <row r="12" spans="3:7" ht="15.75" thickBot="1">
      <c r="C12" s="67" t="s">
        <v>133</v>
      </c>
      <c r="D12" s="68" t="str">
        <f>IF(Inputs!D30=4,"SEWER",IF(Inputs!D30=5,"SEWER",IF(Inputs!D30=2,"COLLECTION",IF(Inputs!D30=3,"COLLECTION",IF(Inputs!D30=8,"COLLECTION",IF(Inputs!D30=6,"SEWER",IF(Inputs!D30=7,"ATMOSPHERE","ERROR")))))))</f>
        <v>ERROR</v>
      </c>
      <c r="F12" s="67" t="s">
        <v>133</v>
      </c>
      <c r="G12" s="68" t="str">
        <f>IF(Inputs!D92=2,"SEWER",IF(Inputs!D92=3,"COLLECTION","ERROR"))</f>
        <v>ERROR</v>
      </c>
    </row>
    <row r="13" ht="15.75" thickBot="1">
      <c r="C13" s="60"/>
    </row>
    <row r="14" spans="3:7" ht="15">
      <c r="C14" s="273" t="s">
        <v>90</v>
      </c>
      <c r="D14" s="274"/>
      <c r="F14" s="273" t="s">
        <v>90</v>
      </c>
      <c r="G14" s="274"/>
    </row>
    <row r="15" spans="3:8" ht="15">
      <c r="C15" s="5" t="s">
        <v>130</v>
      </c>
      <c r="D15" s="97" t="str">
        <f>IF(D12="COLLECTION",Inputs!F13*Inputs!F43/100,IF(D12="SEWER",(Inputs!F13*Inputs!F43/100)+(D10/1000),IF(D12="ATMOSPHERE",0,"ERROR")))</f>
        <v>ERROR</v>
      </c>
      <c r="F15" s="5" t="s">
        <v>130</v>
      </c>
      <c r="G15" s="97" t="str">
        <f>IF(G12="SEWER",Inputs!F13*Inputs!F103/100+(G9/1000),IF(G12="COLLECTION",Inputs!F13*Inputs!F103/100,"ERROR"))</f>
        <v>ERROR</v>
      </c>
      <c r="H15" s="64"/>
    </row>
    <row r="16" spans="3:8" ht="15">
      <c r="C16" s="5" t="s">
        <v>340</v>
      </c>
      <c r="D16" s="100" t="str">
        <f>IF(D12="COLLECTION",0,IF(D12="SEWER",0,IF(D12="ATMOSPHERE",(Inputs!F13*Inputs!F43/100)+(D10/1000),"ERROR")))</f>
        <v>ERROR</v>
      </c>
      <c r="F16" s="5" t="s">
        <v>132</v>
      </c>
      <c r="G16" s="100" t="e">
        <f>Inputs!F13+(G9/1000)-G15</f>
        <v>#VALUE!</v>
      </c>
      <c r="H16" s="64"/>
    </row>
    <row r="17" spans="3:7" ht="15.75" thickBot="1">
      <c r="C17" s="5" t="s">
        <v>131</v>
      </c>
      <c r="D17" s="100" t="e">
        <f>Inputs!F13+(D10/1000)-D15-D16</f>
        <v>#VALUE!</v>
      </c>
      <c r="F17" s="6" t="s">
        <v>245</v>
      </c>
      <c r="G17" s="96" t="e">
        <f>Inputs!F107*Inputs!F24</f>
        <v>#VALUE!</v>
      </c>
    </row>
    <row r="18" spans="3:4" ht="15.75" thickBot="1">
      <c r="C18" s="5" t="s">
        <v>221</v>
      </c>
      <c r="D18" s="139" t="e">
        <f>D17*1000*1000/Inputs!F44/(Inputs!F45*Inputs!F46/100)</f>
        <v>#VALUE!</v>
      </c>
    </row>
    <row r="19" spans="3:7" ht="15.75" thickBot="1">
      <c r="C19" s="6" t="s">
        <v>233</v>
      </c>
      <c r="D19" s="96" t="e">
        <f>Inputs!F53*Inputs!F24</f>
        <v>#VALUE!</v>
      </c>
      <c r="F19" s="268" t="s">
        <v>179</v>
      </c>
      <c r="G19" s="269"/>
    </row>
    <row r="20" spans="6:7" ht="15.75" thickBot="1">
      <c r="F20" s="11" t="s">
        <v>234</v>
      </c>
      <c r="G20" s="100" t="e">
        <f>Inputs!F110*Inputs!F24</f>
        <v>#VALUE!</v>
      </c>
    </row>
    <row r="21" spans="3:7" ht="15.75" thickBot="1">
      <c r="C21" s="273" t="s">
        <v>38</v>
      </c>
      <c r="D21" s="274"/>
      <c r="F21" s="12" t="s">
        <v>218</v>
      </c>
      <c r="G21" s="48" t="e">
        <f>Inputs!F111*Inputs!F24</f>
        <v>#VALUE!</v>
      </c>
    </row>
    <row r="22" spans="3:4" ht="15">
      <c r="C22" s="5" t="s">
        <v>93</v>
      </c>
      <c r="D22" s="100" t="str">
        <f>IF(Inputs!C49=Inputs!Q19,"N/A",IF(Inputs!C49=Inputs!Q20,"N/A",IF(Inputs!C49=Inputs!Q21,D17*(100-Inputs!F65)/100,IF(Inputs!C49=Inputs!Q22,D17*(100-Inputs!F65)/100,"ERROR"))))</f>
        <v>ERROR</v>
      </c>
    </row>
    <row r="23" spans="3:4" ht="15">
      <c r="C23" s="5" t="s">
        <v>231</v>
      </c>
      <c r="D23" s="100" t="e">
        <f>IF(Inputs!F64="N/A","N/A",Inputs!F64*Inputs!F24)</f>
        <v>#VALUE!</v>
      </c>
    </row>
    <row r="24" spans="3:4" ht="15">
      <c r="C24" s="5" t="s">
        <v>89</v>
      </c>
      <c r="D24" s="100" t="e">
        <f>IF(Inputs!F62="N/A","N/A",Inputs!F61*24*365*Inputs!F56)</f>
        <v>#VALUE!</v>
      </c>
    </row>
    <row r="25" spans="3:4" ht="15.75" thickBot="1">
      <c r="C25" s="12" t="s">
        <v>128</v>
      </c>
      <c r="D25" s="96" t="e">
        <f>IF(Inputs!F62="N/A","N/A",Inputs!F62*Inputs!F13*Inputs!F56)</f>
        <v>#VALUE!</v>
      </c>
    </row>
    <row r="26" ht="15.75" thickBot="1"/>
    <row r="27" spans="3:4" ht="15">
      <c r="C27" s="268" t="s">
        <v>179</v>
      </c>
      <c r="D27" s="269"/>
    </row>
    <row r="28" spans="3:4" ht="15">
      <c r="C28" s="11" t="s">
        <v>232</v>
      </c>
      <c r="D28" s="123" t="e">
        <f>Inputs!F68*Inputs!F24</f>
        <v>#VALUE!</v>
      </c>
    </row>
    <row r="29" spans="3:4" ht="15">
      <c r="C29" s="11" t="s">
        <v>238</v>
      </c>
      <c r="D29" s="145" t="str">
        <f>Inputs!F69</f>
        <v>-</v>
      </c>
    </row>
    <row r="30" spans="3:4" ht="15.75" thickBot="1">
      <c r="C30" s="12" t="s">
        <v>172</v>
      </c>
      <c r="D30" s="96" t="str">
        <f>Inputs!F70</f>
        <v>-</v>
      </c>
    </row>
    <row r="31" ht="15.75" thickBot="1"/>
    <row r="32" spans="3:4" ht="15">
      <c r="C32" s="273" t="s">
        <v>129</v>
      </c>
      <c r="D32" s="274"/>
    </row>
    <row r="33" spans="3:4" ht="15">
      <c r="C33" s="5" t="s">
        <v>122</v>
      </c>
      <c r="D33" s="97">
        <f>IF(Inputs!D49=5,Inputs!F73,0)</f>
        <v>0</v>
      </c>
    </row>
    <row r="34" spans="3:4" ht="15.75" thickBot="1">
      <c r="C34" s="6" t="s">
        <v>123</v>
      </c>
      <c r="D34" s="96">
        <f>IF(Inputs!D49=5,Inputs!F74,0)</f>
        <v>0</v>
      </c>
    </row>
  </sheetData>
  <sheetProtection sheet="1" objects="1" scenarios="1"/>
  <mergeCells count="11">
    <mergeCell ref="F19:G19"/>
    <mergeCell ref="C2:F2"/>
    <mergeCell ref="C32:D32"/>
    <mergeCell ref="C5:D5"/>
    <mergeCell ref="F5:G5"/>
    <mergeCell ref="C6:D6"/>
    <mergeCell ref="C14:D14"/>
    <mergeCell ref="C21:D21"/>
    <mergeCell ref="F6:G6"/>
    <mergeCell ref="F14:G14"/>
    <mergeCell ref="C27:D27"/>
  </mergeCell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C2:R121"/>
  <sheetViews>
    <sheetView zoomScalePageLayoutView="0" workbookViewId="0" topLeftCell="A1">
      <selection activeCell="C3" sqref="C3:E3"/>
    </sheetView>
  </sheetViews>
  <sheetFormatPr defaultColWidth="9.140625" defaultRowHeight="15"/>
  <cols>
    <col min="1" max="1" width="9.140625" style="75" customWidth="1"/>
    <col min="2" max="2" width="2.8515625" style="75" customWidth="1"/>
    <col min="3" max="3" width="1.421875" style="75" customWidth="1"/>
    <col min="4" max="13" width="9.140625" style="75" customWidth="1"/>
    <col min="14" max="14" width="10.140625" style="75" customWidth="1"/>
    <col min="15" max="16384" width="9.140625" style="75" customWidth="1"/>
  </cols>
  <sheetData>
    <row r="2" spans="3:15" ht="26.25">
      <c r="C2" s="239" t="str">
        <f>Inputs!C2</f>
        <v>Resource Efficient Scotland - Hospital food waste disposal calculator </v>
      </c>
      <c r="D2" s="239"/>
      <c r="E2" s="239"/>
      <c r="F2" s="239"/>
      <c r="G2" s="239"/>
      <c r="H2" s="239"/>
      <c r="I2" s="239"/>
      <c r="J2" s="239"/>
      <c r="K2" s="239"/>
      <c r="L2" s="239"/>
      <c r="M2" s="239"/>
      <c r="N2" s="239"/>
      <c r="O2" s="239"/>
    </row>
    <row r="3" spans="3:14" ht="21">
      <c r="C3" s="240" t="s">
        <v>301</v>
      </c>
      <c r="D3" s="240"/>
      <c r="E3" s="240"/>
      <c r="K3" s="153" t="s">
        <v>371</v>
      </c>
      <c r="L3" s="87" t="s">
        <v>372</v>
      </c>
      <c r="M3" s="241" t="s">
        <v>364</v>
      </c>
      <c r="N3" s="241"/>
    </row>
    <row r="5" spans="3:14" ht="15">
      <c r="C5" s="20"/>
      <c r="D5" s="245" t="s">
        <v>147</v>
      </c>
      <c r="E5" s="245"/>
      <c r="F5" s="78"/>
      <c r="G5" s="78"/>
      <c r="H5" s="78"/>
      <c r="I5" s="78"/>
      <c r="J5" s="78"/>
      <c r="K5" s="78"/>
      <c r="L5" s="78"/>
      <c r="M5" s="78"/>
      <c r="N5" s="78"/>
    </row>
    <row r="6" spans="3:14" ht="15" customHeight="1">
      <c r="C6" s="20"/>
      <c r="D6" s="238" t="s">
        <v>347</v>
      </c>
      <c r="E6" s="238"/>
      <c r="F6" s="238"/>
      <c r="G6" s="238"/>
      <c r="H6" s="238"/>
      <c r="I6" s="238"/>
      <c r="J6" s="238"/>
      <c r="K6" s="238"/>
      <c r="L6" s="238"/>
      <c r="M6" s="238"/>
      <c r="N6" s="238"/>
    </row>
    <row r="7" spans="3:14" ht="15">
      <c r="C7" s="20"/>
      <c r="D7" s="238"/>
      <c r="E7" s="238"/>
      <c r="F7" s="238"/>
      <c r="G7" s="238"/>
      <c r="H7" s="238"/>
      <c r="I7" s="238"/>
      <c r="J7" s="238"/>
      <c r="K7" s="238"/>
      <c r="L7" s="238"/>
      <c r="M7" s="238"/>
      <c r="N7" s="238"/>
    </row>
    <row r="8" spans="3:14" ht="15">
      <c r="C8" s="20"/>
      <c r="D8" s="238"/>
      <c r="E8" s="238"/>
      <c r="F8" s="238"/>
      <c r="G8" s="238"/>
      <c r="H8" s="238"/>
      <c r="I8" s="238"/>
      <c r="J8" s="238"/>
      <c r="K8" s="238"/>
      <c r="L8" s="238"/>
      <c r="M8" s="238"/>
      <c r="N8" s="238"/>
    </row>
    <row r="9" spans="3:14" ht="15">
      <c r="C9" s="20"/>
      <c r="D9" s="78"/>
      <c r="E9" s="78"/>
      <c r="F9" s="78"/>
      <c r="G9" s="78"/>
      <c r="H9" s="78"/>
      <c r="I9" s="78"/>
      <c r="J9" s="78"/>
      <c r="K9" s="78"/>
      <c r="L9" s="78"/>
      <c r="M9" s="78"/>
      <c r="N9" s="78"/>
    </row>
    <row r="10" spans="3:14" ht="15" customHeight="1">
      <c r="C10" s="20"/>
      <c r="D10" s="243" t="s">
        <v>143</v>
      </c>
      <c r="E10" s="243"/>
      <c r="F10" s="78"/>
      <c r="G10" s="78"/>
      <c r="H10" s="78"/>
      <c r="I10" s="78"/>
      <c r="J10" s="78"/>
      <c r="K10" s="78"/>
      <c r="L10" s="78"/>
      <c r="M10" s="78"/>
      <c r="N10" s="78"/>
    </row>
    <row r="11" spans="3:14" ht="15" customHeight="1">
      <c r="C11" s="20"/>
      <c r="D11" s="238" t="s">
        <v>348</v>
      </c>
      <c r="E11" s="238"/>
      <c r="F11" s="238"/>
      <c r="G11" s="238"/>
      <c r="H11" s="238"/>
      <c r="I11" s="238"/>
      <c r="J11" s="238"/>
      <c r="K11" s="238"/>
      <c r="L11" s="238"/>
      <c r="M11" s="238"/>
      <c r="N11" s="238"/>
    </row>
    <row r="12" spans="3:14" ht="15">
      <c r="C12" s="20"/>
      <c r="D12" s="238"/>
      <c r="E12" s="238"/>
      <c r="F12" s="238"/>
      <c r="G12" s="238"/>
      <c r="H12" s="238"/>
      <c r="I12" s="238"/>
      <c r="J12" s="238"/>
      <c r="K12" s="238"/>
      <c r="L12" s="238"/>
      <c r="M12" s="238"/>
      <c r="N12" s="238"/>
    </row>
    <row r="13" spans="3:14" ht="15">
      <c r="C13" s="20"/>
      <c r="D13" s="238"/>
      <c r="E13" s="238"/>
      <c r="F13" s="238"/>
      <c r="G13" s="238"/>
      <c r="H13" s="238"/>
      <c r="I13" s="238"/>
      <c r="J13" s="238"/>
      <c r="K13" s="238"/>
      <c r="L13" s="238"/>
      <c r="M13" s="238"/>
      <c r="N13" s="238"/>
    </row>
    <row r="14" spans="3:14" ht="15">
      <c r="C14" s="20"/>
      <c r="D14" s="238"/>
      <c r="E14" s="238"/>
      <c r="F14" s="238"/>
      <c r="G14" s="238"/>
      <c r="H14" s="238"/>
      <c r="I14" s="238"/>
      <c r="J14" s="238"/>
      <c r="K14" s="238"/>
      <c r="L14" s="238"/>
      <c r="M14" s="238"/>
      <c r="N14" s="238"/>
    </row>
    <row r="15" spans="3:14" ht="15">
      <c r="C15" s="20"/>
      <c r="N15" s="89"/>
    </row>
    <row r="16" spans="3:14" ht="15">
      <c r="C16" s="20"/>
      <c r="D16" s="255" t="s">
        <v>148</v>
      </c>
      <c r="E16" s="255"/>
      <c r="F16" s="255"/>
      <c r="G16" s="255"/>
      <c r="H16" s="255"/>
      <c r="I16" s="255"/>
      <c r="J16" s="255"/>
      <c r="K16" s="255"/>
      <c r="L16" s="255"/>
      <c r="M16" s="255"/>
      <c r="N16" s="255"/>
    </row>
    <row r="17" spans="3:14" ht="15">
      <c r="C17" s="20"/>
      <c r="D17" s="90"/>
      <c r="E17" s="90"/>
      <c r="F17" s="90"/>
      <c r="G17" s="90"/>
      <c r="H17" s="90"/>
      <c r="I17" s="90"/>
      <c r="J17" s="90"/>
      <c r="K17" s="90"/>
      <c r="L17" s="90"/>
      <c r="M17" s="90"/>
      <c r="N17" s="90"/>
    </row>
    <row r="18" spans="3:14" ht="15">
      <c r="C18" s="20"/>
      <c r="D18" s="256" t="s">
        <v>87</v>
      </c>
      <c r="E18" s="256"/>
      <c r="F18" s="257" t="s">
        <v>88</v>
      </c>
      <c r="G18" s="257"/>
      <c r="H18" s="90"/>
      <c r="I18" s="90"/>
      <c r="J18" s="90"/>
      <c r="K18" s="90"/>
      <c r="L18" s="92"/>
      <c r="M18" s="21"/>
      <c r="N18" s="21"/>
    </row>
    <row r="19" spans="3:14" ht="15">
      <c r="C19" s="20"/>
      <c r="D19" s="122"/>
      <c r="E19" s="122"/>
      <c r="F19" s="122"/>
      <c r="G19" s="122"/>
      <c r="H19" s="105"/>
      <c r="I19" s="105"/>
      <c r="J19" s="105"/>
      <c r="K19" s="105"/>
      <c r="L19" s="92"/>
      <c r="M19" s="21"/>
      <c r="N19" s="21"/>
    </row>
    <row r="20" spans="3:14" ht="15">
      <c r="C20" s="20"/>
      <c r="D20" s="244" t="s">
        <v>170</v>
      </c>
      <c r="E20" s="244"/>
      <c r="F20" s="244"/>
      <c r="G20" s="244"/>
      <c r="H20" s="244"/>
      <c r="I20" s="244"/>
      <c r="J20" s="244"/>
      <c r="K20" s="244"/>
      <c r="L20" s="244"/>
      <c r="M20" s="244"/>
      <c r="N20" s="244"/>
    </row>
    <row r="21" spans="3:14" ht="15">
      <c r="C21" s="20"/>
      <c r="D21" s="244"/>
      <c r="E21" s="244"/>
      <c r="F21" s="244"/>
      <c r="G21" s="244"/>
      <c r="H21" s="244"/>
      <c r="I21" s="244"/>
      <c r="J21" s="244"/>
      <c r="K21" s="244"/>
      <c r="L21" s="244"/>
      <c r="M21" s="244"/>
      <c r="N21" s="244"/>
    </row>
    <row r="22" spans="3:14" ht="15">
      <c r="C22" s="20"/>
      <c r="D22" s="244"/>
      <c r="E22" s="244"/>
      <c r="F22" s="244"/>
      <c r="G22" s="244"/>
      <c r="H22" s="244"/>
      <c r="I22" s="244"/>
      <c r="J22" s="244"/>
      <c r="K22" s="244"/>
      <c r="L22" s="244"/>
      <c r="M22" s="244"/>
      <c r="N22" s="244"/>
    </row>
    <row r="23" ht="15">
      <c r="C23" s="20"/>
    </row>
    <row r="24" spans="3:5" ht="15">
      <c r="C24" s="20"/>
      <c r="D24" s="242" t="s">
        <v>141</v>
      </c>
      <c r="E24" s="242"/>
    </row>
    <row r="25" spans="3:18" ht="15" customHeight="1">
      <c r="C25" s="20"/>
      <c r="D25" s="238" t="s">
        <v>370</v>
      </c>
      <c r="E25" s="238"/>
      <c r="F25" s="238"/>
      <c r="G25" s="238"/>
      <c r="H25" s="238"/>
      <c r="I25" s="238"/>
      <c r="J25" s="238"/>
      <c r="K25" s="238"/>
      <c r="L25" s="238"/>
      <c r="M25" s="238"/>
      <c r="N25" s="238"/>
      <c r="O25" s="91"/>
      <c r="P25" s="91"/>
      <c r="Q25" s="91"/>
      <c r="R25" s="91"/>
    </row>
    <row r="26" spans="3:18" ht="15">
      <c r="C26" s="20"/>
      <c r="D26" s="238"/>
      <c r="E26" s="238"/>
      <c r="F26" s="238"/>
      <c r="G26" s="238"/>
      <c r="H26" s="238"/>
      <c r="I26" s="238"/>
      <c r="J26" s="238"/>
      <c r="K26" s="238"/>
      <c r="L26" s="238"/>
      <c r="M26" s="238"/>
      <c r="N26" s="238"/>
      <c r="O26" s="91"/>
      <c r="P26" s="91"/>
      <c r="Q26" s="91"/>
      <c r="R26" s="91"/>
    </row>
    <row r="27" spans="3:18" ht="15">
      <c r="C27" s="20"/>
      <c r="D27" s="238"/>
      <c r="E27" s="238"/>
      <c r="F27" s="238"/>
      <c r="G27" s="238"/>
      <c r="H27" s="238"/>
      <c r="I27" s="238"/>
      <c r="J27" s="238"/>
      <c r="K27" s="238"/>
      <c r="L27" s="238"/>
      <c r="M27" s="238"/>
      <c r="N27" s="238"/>
      <c r="O27" s="91"/>
      <c r="P27" s="91"/>
      <c r="Q27" s="91"/>
      <c r="R27" s="91"/>
    </row>
    <row r="28" spans="3:18" ht="15">
      <c r="C28" s="20"/>
      <c r="D28" s="238"/>
      <c r="E28" s="238"/>
      <c r="F28" s="238"/>
      <c r="G28" s="238"/>
      <c r="H28" s="238"/>
      <c r="I28" s="238"/>
      <c r="J28" s="238"/>
      <c r="K28" s="238"/>
      <c r="L28" s="238"/>
      <c r="M28" s="238"/>
      <c r="N28" s="238"/>
      <c r="O28" s="91"/>
      <c r="P28" s="91"/>
      <c r="Q28" s="91"/>
      <c r="R28" s="91"/>
    </row>
    <row r="29" spans="3:18" ht="15">
      <c r="C29" s="20"/>
      <c r="D29" s="238"/>
      <c r="E29" s="238"/>
      <c r="F29" s="238"/>
      <c r="G29" s="238"/>
      <c r="H29" s="238"/>
      <c r="I29" s="238"/>
      <c r="J29" s="238"/>
      <c r="K29" s="238"/>
      <c r="L29" s="238"/>
      <c r="M29" s="238"/>
      <c r="N29" s="238"/>
      <c r="O29" s="91"/>
      <c r="P29" s="91"/>
      <c r="Q29" s="91"/>
      <c r="R29" s="91"/>
    </row>
    <row r="30" spans="3:18" ht="15">
      <c r="C30" s="20"/>
      <c r="D30" s="238"/>
      <c r="E30" s="238"/>
      <c r="F30" s="238"/>
      <c r="G30" s="238"/>
      <c r="H30" s="238"/>
      <c r="I30" s="238"/>
      <c r="J30" s="238"/>
      <c r="K30" s="238"/>
      <c r="L30" s="238"/>
      <c r="M30" s="238"/>
      <c r="N30" s="238"/>
      <c r="O30" s="89"/>
      <c r="P30" s="89"/>
      <c r="Q30" s="89"/>
      <c r="R30" s="89"/>
    </row>
    <row r="31" spans="3:14" ht="15">
      <c r="C31" s="20"/>
      <c r="D31" s="238"/>
      <c r="E31" s="238"/>
      <c r="F31" s="238"/>
      <c r="G31" s="238"/>
      <c r="H31" s="238"/>
      <c r="I31" s="238"/>
      <c r="J31" s="238"/>
      <c r="K31" s="238"/>
      <c r="L31" s="238"/>
      <c r="M31" s="238"/>
      <c r="N31" s="238"/>
    </row>
    <row r="32" spans="3:14" ht="15">
      <c r="C32" s="20"/>
      <c r="D32" s="238"/>
      <c r="E32" s="238"/>
      <c r="F32" s="238"/>
      <c r="G32" s="238"/>
      <c r="H32" s="238"/>
      <c r="I32" s="238"/>
      <c r="J32" s="238"/>
      <c r="K32" s="238"/>
      <c r="L32" s="238"/>
      <c r="M32" s="238"/>
      <c r="N32" s="238"/>
    </row>
    <row r="33" spans="3:14" ht="15">
      <c r="C33" s="20"/>
      <c r="D33" s="238"/>
      <c r="E33" s="238"/>
      <c r="F33" s="238"/>
      <c r="G33" s="238"/>
      <c r="H33" s="238"/>
      <c r="I33" s="238"/>
      <c r="J33" s="238"/>
      <c r="K33" s="238"/>
      <c r="L33" s="238"/>
      <c r="M33" s="238"/>
      <c r="N33" s="238"/>
    </row>
    <row r="34" spans="3:14" ht="15">
      <c r="C34" s="20"/>
      <c r="D34" s="238"/>
      <c r="E34" s="238"/>
      <c r="F34" s="238"/>
      <c r="G34" s="238"/>
      <c r="H34" s="238"/>
      <c r="I34" s="238"/>
      <c r="J34" s="238"/>
      <c r="K34" s="238"/>
      <c r="L34" s="238"/>
      <c r="M34" s="238"/>
      <c r="N34" s="238"/>
    </row>
    <row r="35" spans="3:14" ht="15">
      <c r="C35" s="20"/>
      <c r="D35" s="238"/>
      <c r="E35" s="238"/>
      <c r="F35" s="238"/>
      <c r="G35" s="238"/>
      <c r="H35" s="238"/>
      <c r="I35" s="238"/>
      <c r="J35" s="238"/>
      <c r="K35" s="238"/>
      <c r="L35" s="238"/>
      <c r="M35" s="238"/>
      <c r="N35" s="238"/>
    </row>
    <row r="36" spans="3:14" ht="15">
      <c r="C36" s="20"/>
      <c r="D36" s="238"/>
      <c r="E36" s="238"/>
      <c r="F36" s="238"/>
      <c r="G36" s="238"/>
      <c r="H36" s="238"/>
      <c r="I36" s="238"/>
      <c r="J36" s="238"/>
      <c r="K36" s="238"/>
      <c r="L36" s="238"/>
      <c r="M36" s="238"/>
      <c r="N36" s="238"/>
    </row>
    <row r="37" spans="3:14" ht="15">
      <c r="C37" s="20"/>
      <c r="D37" s="238"/>
      <c r="E37" s="238"/>
      <c r="F37" s="238"/>
      <c r="G37" s="238"/>
      <c r="H37" s="238"/>
      <c r="I37" s="238"/>
      <c r="J37" s="238"/>
      <c r="K37" s="238"/>
      <c r="L37" s="238"/>
      <c r="M37" s="238"/>
      <c r="N37" s="238"/>
    </row>
    <row r="38" spans="3:14" ht="15">
      <c r="C38" s="20"/>
      <c r="D38" s="238"/>
      <c r="E38" s="238"/>
      <c r="F38" s="238"/>
      <c r="G38" s="238"/>
      <c r="H38" s="238"/>
      <c r="I38" s="238"/>
      <c r="J38" s="238"/>
      <c r="K38" s="238"/>
      <c r="L38" s="238"/>
      <c r="M38" s="238"/>
      <c r="N38" s="238"/>
    </row>
    <row r="39" spans="3:14" ht="15">
      <c r="C39" s="20"/>
      <c r="D39" s="238"/>
      <c r="E39" s="238"/>
      <c r="F39" s="238"/>
      <c r="G39" s="238"/>
      <c r="H39" s="238"/>
      <c r="I39" s="238"/>
      <c r="J39" s="238"/>
      <c r="K39" s="238"/>
      <c r="L39" s="238"/>
      <c r="M39" s="238"/>
      <c r="N39" s="238"/>
    </row>
    <row r="40" spans="3:14" ht="15">
      <c r="C40" s="20"/>
      <c r="D40" s="91"/>
      <c r="E40" s="91"/>
      <c r="F40" s="91"/>
      <c r="G40" s="91"/>
      <c r="H40" s="91"/>
      <c r="I40" s="91"/>
      <c r="J40" s="91"/>
      <c r="K40" s="91"/>
      <c r="L40" s="91"/>
      <c r="M40" s="91"/>
      <c r="N40" s="91"/>
    </row>
    <row r="41" spans="3:9" ht="15">
      <c r="C41" s="20"/>
      <c r="D41" s="258" t="s">
        <v>144</v>
      </c>
      <c r="E41" s="258"/>
      <c r="F41" s="252" t="s">
        <v>77</v>
      </c>
      <c r="G41" s="253"/>
      <c r="H41" s="247" t="s">
        <v>145</v>
      </c>
      <c r="I41" s="248"/>
    </row>
    <row r="42" ht="15">
      <c r="C42" s="20"/>
    </row>
    <row r="43" spans="3:14" ht="15">
      <c r="C43" s="20"/>
      <c r="D43" s="249" t="s">
        <v>146</v>
      </c>
      <c r="E43" s="249"/>
      <c r="F43" s="249"/>
      <c r="G43" s="249"/>
      <c r="H43" s="249"/>
      <c r="I43" s="249"/>
      <c r="J43" s="249"/>
      <c r="K43" s="249"/>
      <c r="L43" s="249"/>
      <c r="M43" s="250"/>
      <c r="N43" s="65" t="s">
        <v>121</v>
      </c>
    </row>
    <row r="44" spans="3:14" ht="15">
      <c r="C44" s="20"/>
      <c r="D44" s="249" t="s">
        <v>349</v>
      </c>
      <c r="E44" s="249"/>
      <c r="F44" s="249"/>
      <c r="G44" s="249"/>
      <c r="H44" s="249"/>
      <c r="I44" s="249"/>
      <c r="J44" s="249"/>
      <c r="K44" s="249"/>
      <c r="L44" s="249"/>
      <c r="M44" s="250"/>
      <c r="N44" s="65" t="s">
        <v>320</v>
      </c>
    </row>
    <row r="45" ht="15">
      <c r="C45" s="20"/>
    </row>
    <row r="46" spans="3:4" ht="15">
      <c r="C46" s="20"/>
      <c r="D46" s="88" t="s">
        <v>138</v>
      </c>
    </row>
    <row r="47" spans="3:14" ht="15" customHeight="1">
      <c r="C47" s="20"/>
      <c r="D47" s="254" t="s">
        <v>149</v>
      </c>
      <c r="E47" s="254"/>
      <c r="F47" s="254"/>
      <c r="G47" s="254"/>
      <c r="H47" s="254"/>
      <c r="I47" s="254"/>
      <c r="J47" s="254"/>
      <c r="K47" s="254"/>
      <c r="L47" s="254"/>
      <c r="M47" s="254"/>
      <c r="N47" s="254"/>
    </row>
    <row r="48" spans="3:14" ht="15">
      <c r="C48" s="20"/>
      <c r="D48" s="254"/>
      <c r="E48" s="254"/>
      <c r="F48" s="254"/>
      <c r="G48" s="254"/>
      <c r="H48" s="254"/>
      <c r="I48" s="254"/>
      <c r="J48" s="254"/>
      <c r="K48" s="254"/>
      <c r="L48" s="254"/>
      <c r="M48" s="254"/>
      <c r="N48" s="254"/>
    </row>
    <row r="49" spans="3:14" ht="15">
      <c r="C49" s="20"/>
      <c r="D49" s="254"/>
      <c r="E49" s="254"/>
      <c r="F49" s="254"/>
      <c r="G49" s="254"/>
      <c r="H49" s="254"/>
      <c r="I49" s="254"/>
      <c r="J49" s="254"/>
      <c r="K49" s="254"/>
      <c r="L49" s="254"/>
      <c r="M49" s="254"/>
      <c r="N49" s="254"/>
    </row>
    <row r="50" spans="3:18" ht="15">
      <c r="C50" s="20"/>
      <c r="D50" s="254"/>
      <c r="E50" s="254"/>
      <c r="F50" s="254"/>
      <c r="G50" s="254"/>
      <c r="H50" s="254"/>
      <c r="I50" s="254"/>
      <c r="J50" s="254"/>
      <c r="K50" s="254"/>
      <c r="L50" s="254"/>
      <c r="M50" s="254"/>
      <c r="N50" s="254"/>
      <c r="O50" s="91"/>
      <c r="P50" s="91"/>
      <c r="Q50" s="91"/>
      <c r="R50" s="91"/>
    </row>
    <row r="51" spans="3:18" ht="15" customHeight="1">
      <c r="C51" s="20"/>
      <c r="D51" s="246" t="s">
        <v>366</v>
      </c>
      <c r="E51" s="246"/>
      <c r="F51" s="246"/>
      <c r="G51" s="246"/>
      <c r="H51" s="246"/>
      <c r="I51" s="246"/>
      <c r="J51" s="246"/>
      <c r="K51" s="246"/>
      <c r="L51" s="246"/>
      <c r="M51" s="246"/>
      <c r="N51" s="246"/>
      <c r="O51" s="91"/>
      <c r="P51" s="91"/>
      <c r="Q51" s="91"/>
      <c r="R51" s="91"/>
    </row>
    <row r="52" spans="3:14" ht="15">
      <c r="C52" s="20"/>
      <c r="D52" s="246"/>
      <c r="E52" s="246"/>
      <c r="F52" s="246"/>
      <c r="G52" s="246"/>
      <c r="H52" s="246"/>
      <c r="I52" s="246"/>
      <c r="J52" s="246"/>
      <c r="K52" s="246"/>
      <c r="L52" s="246"/>
      <c r="M52" s="246"/>
      <c r="N52" s="246"/>
    </row>
    <row r="53" spans="3:14" ht="15">
      <c r="C53" s="20"/>
      <c r="D53" s="167"/>
      <c r="E53" s="167"/>
      <c r="F53" s="167"/>
      <c r="G53" s="167"/>
      <c r="H53" s="167"/>
      <c r="I53" s="167"/>
      <c r="J53" s="167"/>
      <c r="K53" s="167"/>
      <c r="L53" s="167"/>
      <c r="M53" s="167"/>
      <c r="N53" s="167"/>
    </row>
    <row r="54" spans="3:14" ht="15">
      <c r="C54" s="20"/>
      <c r="D54" s="245" t="s">
        <v>289</v>
      </c>
      <c r="E54" s="245"/>
      <c r="F54" s="167"/>
      <c r="G54" s="167"/>
      <c r="H54" s="167"/>
      <c r="I54" s="167"/>
      <c r="J54" s="167"/>
      <c r="K54" s="167"/>
      <c r="L54" s="167"/>
      <c r="M54" s="167"/>
      <c r="N54" s="167"/>
    </row>
    <row r="55" spans="3:14" ht="15" customHeight="1">
      <c r="C55" s="20"/>
      <c r="D55" s="246" t="s">
        <v>293</v>
      </c>
      <c r="E55" s="246"/>
      <c r="F55" s="246"/>
      <c r="G55" s="246"/>
      <c r="H55" s="246"/>
      <c r="I55" s="246"/>
      <c r="J55" s="246"/>
      <c r="K55" s="246"/>
      <c r="L55" s="246"/>
      <c r="M55" s="246"/>
      <c r="N55" s="246"/>
    </row>
    <row r="56" spans="3:14" ht="15">
      <c r="C56" s="20"/>
      <c r="D56" s="246"/>
      <c r="E56" s="246"/>
      <c r="F56" s="246"/>
      <c r="G56" s="246"/>
      <c r="H56" s="246"/>
      <c r="I56" s="246"/>
      <c r="J56" s="246"/>
      <c r="K56" s="246"/>
      <c r="L56" s="246"/>
      <c r="M56" s="246"/>
      <c r="N56" s="246"/>
    </row>
    <row r="57" spans="3:14" ht="15">
      <c r="C57" s="20"/>
      <c r="D57" s="246"/>
      <c r="E57" s="246"/>
      <c r="F57" s="246"/>
      <c r="G57" s="246"/>
      <c r="H57" s="246"/>
      <c r="I57" s="246"/>
      <c r="J57" s="246"/>
      <c r="K57" s="246"/>
      <c r="L57" s="246"/>
      <c r="M57" s="246"/>
      <c r="N57" s="246"/>
    </row>
    <row r="58" spans="3:14" ht="15">
      <c r="C58" s="20"/>
      <c r="D58" s="246"/>
      <c r="E58" s="246"/>
      <c r="F58" s="246"/>
      <c r="G58" s="246"/>
      <c r="H58" s="246"/>
      <c r="I58" s="246"/>
      <c r="J58" s="246"/>
      <c r="K58" s="246"/>
      <c r="L58" s="246"/>
      <c r="M58" s="246"/>
      <c r="N58" s="246"/>
    </row>
    <row r="59" spans="3:14" ht="15">
      <c r="C59" s="20"/>
      <c r="D59" s="246"/>
      <c r="E59" s="246"/>
      <c r="F59" s="246"/>
      <c r="G59" s="246"/>
      <c r="H59" s="246"/>
      <c r="I59" s="246"/>
      <c r="J59" s="246"/>
      <c r="K59" s="246"/>
      <c r="L59" s="246"/>
      <c r="M59" s="246"/>
      <c r="N59" s="246"/>
    </row>
    <row r="60" ht="15">
      <c r="C60" s="20"/>
    </row>
    <row r="61" spans="3:5" ht="15">
      <c r="C61" s="20"/>
      <c r="D61" s="242" t="s">
        <v>150</v>
      </c>
      <c r="E61" s="242"/>
    </row>
    <row r="62" spans="3:14" ht="15" customHeight="1">
      <c r="C62" s="20"/>
      <c r="D62" s="238" t="s">
        <v>367</v>
      </c>
      <c r="E62" s="238"/>
      <c r="F62" s="238"/>
      <c r="G62" s="238"/>
      <c r="H62" s="238"/>
      <c r="I62" s="238"/>
      <c r="J62" s="238"/>
      <c r="K62" s="238"/>
      <c r="L62" s="238"/>
      <c r="M62" s="238"/>
      <c r="N62" s="238"/>
    </row>
    <row r="63" spans="3:14" ht="15">
      <c r="C63" s="20"/>
      <c r="D63" s="238"/>
      <c r="E63" s="238"/>
      <c r="F63" s="238"/>
      <c r="G63" s="238"/>
      <c r="H63" s="238"/>
      <c r="I63" s="238"/>
      <c r="J63" s="238"/>
      <c r="K63" s="238"/>
      <c r="L63" s="238"/>
      <c r="M63" s="238"/>
      <c r="N63" s="238"/>
    </row>
    <row r="64" spans="3:14" ht="15">
      <c r="C64" s="20"/>
      <c r="D64" s="238"/>
      <c r="E64" s="238"/>
      <c r="F64" s="238"/>
      <c r="G64" s="238"/>
      <c r="H64" s="238"/>
      <c r="I64" s="238"/>
      <c r="J64" s="238"/>
      <c r="K64" s="238"/>
      <c r="L64" s="238"/>
      <c r="M64" s="238"/>
      <c r="N64" s="238"/>
    </row>
    <row r="65" spans="3:14" ht="15">
      <c r="C65" s="20"/>
      <c r="D65" s="238"/>
      <c r="E65" s="238"/>
      <c r="F65" s="238"/>
      <c r="G65" s="238"/>
      <c r="H65" s="238"/>
      <c r="I65" s="238"/>
      <c r="J65" s="238"/>
      <c r="K65" s="238"/>
      <c r="L65" s="238"/>
      <c r="M65" s="238"/>
      <c r="N65" s="238"/>
    </row>
    <row r="66" spans="3:14" ht="15">
      <c r="C66" s="20"/>
      <c r="D66" s="238"/>
      <c r="E66" s="238"/>
      <c r="F66" s="238"/>
      <c r="G66" s="238"/>
      <c r="H66" s="238"/>
      <c r="I66" s="238"/>
      <c r="J66" s="238"/>
      <c r="K66" s="238"/>
      <c r="L66" s="238"/>
      <c r="M66" s="238"/>
      <c r="N66" s="238"/>
    </row>
    <row r="67" spans="3:14" ht="15">
      <c r="C67" s="20"/>
      <c r="D67" s="238"/>
      <c r="E67" s="238"/>
      <c r="F67" s="238"/>
      <c r="G67" s="238"/>
      <c r="H67" s="238"/>
      <c r="I67" s="238"/>
      <c r="J67" s="238"/>
      <c r="K67" s="238"/>
      <c r="L67" s="238"/>
      <c r="M67" s="238"/>
      <c r="N67" s="238"/>
    </row>
    <row r="68" spans="3:14" ht="15">
      <c r="C68" s="20"/>
      <c r="D68" s="238"/>
      <c r="E68" s="238"/>
      <c r="F68" s="238"/>
      <c r="G68" s="238"/>
      <c r="H68" s="238"/>
      <c r="I68" s="238"/>
      <c r="J68" s="238"/>
      <c r="K68" s="238"/>
      <c r="L68" s="238"/>
      <c r="M68" s="238"/>
      <c r="N68" s="238"/>
    </row>
    <row r="69" spans="3:14" ht="15">
      <c r="C69" s="20"/>
      <c r="D69" s="238"/>
      <c r="E69" s="238"/>
      <c r="F69" s="238"/>
      <c r="G69" s="238"/>
      <c r="H69" s="238"/>
      <c r="I69" s="238"/>
      <c r="J69" s="238"/>
      <c r="K69" s="238"/>
      <c r="L69" s="238"/>
      <c r="M69" s="238"/>
      <c r="N69" s="238"/>
    </row>
    <row r="70" spans="3:14" ht="15">
      <c r="C70" s="20"/>
      <c r="D70" s="238"/>
      <c r="E70" s="238"/>
      <c r="F70" s="238"/>
      <c r="G70" s="238"/>
      <c r="H70" s="238"/>
      <c r="I70" s="238"/>
      <c r="J70" s="238"/>
      <c r="K70" s="238"/>
      <c r="L70" s="238"/>
      <c r="M70" s="238"/>
      <c r="N70" s="238"/>
    </row>
    <row r="71" spans="3:14" ht="15">
      <c r="C71" s="20"/>
      <c r="D71" s="238"/>
      <c r="E71" s="238"/>
      <c r="F71" s="238"/>
      <c r="G71" s="238"/>
      <c r="H71" s="238"/>
      <c r="I71" s="238"/>
      <c r="J71" s="238"/>
      <c r="K71" s="238"/>
      <c r="L71" s="238"/>
      <c r="M71" s="238"/>
      <c r="N71" s="238"/>
    </row>
    <row r="72" spans="3:14" ht="15">
      <c r="C72" s="20"/>
      <c r="D72" s="78"/>
      <c r="E72" s="78"/>
      <c r="F72" s="78"/>
      <c r="G72" s="78"/>
      <c r="H72" s="78"/>
      <c r="I72" s="78"/>
      <c r="J72" s="78"/>
      <c r="K72" s="78"/>
      <c r="L72" s="78"/>
      <c r="M72" s="78"/>
      <c r="N72" s="78"/>
    </row>
    <row r="73" spans="3:14" ht="15">
      <c r="C73" s="20"/>
      <c r="D73" s="251" t="s">
        <v>368</v>
      </c>
      <c r="E73" s="251"/>
      <c r="F73" s="251"/>
      <c r="G73" s="251"/>
      <c r="H73" s="251"/>
      <c r="I73" s="251"/>
      <c r="J73" s="251"/>
      <c r="K73" s="251"/>
      <c r="L73" s="251"/>
      <c r="M73" s="251"/>
      <c r="N73" s="251"/>
    </row>
    <row r="74" spans="3:14" ht="15">
      <c r="C74" s="20"/>
      <c r="D74" s="251"/>
      <c r="E74" s="251"/>
      <c r="F74" s="251"/>
      <c r="G74" s="251"/>
      <c r="H74" s="251"/>
      <c r="I74" s="251"/>
      <c r="J74" s="251"/>
      <c r="K74" s="251"/>
      <c r="L74" s="251"/>
      <c r="M74" s="251"/>
      <c r="N74" s="251"/>
    </row>
    <row r="75" spans="3:14" ht="15">
      <c r="C75" s="20"/>
      <c r="D75" s="251"/>
      <c r="E75" s="251"/>
      <c r="F75" s="251"/>
      <c r="G75" s="251"/>
      <c r="H75" s="251"/>
      <c r="I75" s="251"/>
      <c r="J75" s="251"/>
      <c r="K75" s="251"/>
      <c r="L75" s="251"/>
      <c r="M75" s="251"/>
      <c r="N75" s="251"/>
    </row>
    <row r="76" spans="3:14" ht="15">
      <c r="C76" s="20"/>
      <c r="D76" s="214"/>
      <c r="E76" s="214"/>
      <c r="F76" s="214"/>
      <c r="G76" s="214"/>
      <c r="H76" s="214"/>
      <c r="I76" s="214"/>
      <c r="J76" s="214"/>
      <c r="K76" s="214"/>
      <c r="L76" s="214"/>
      <c r="M76" s="214"/>
      <c r="N76" s="214"/>
    </row>
    <row r="77" spans="3:14" ht="15">
      <c r="C77" s="20"/>
      <c r="D77" s="242" t="s">
        <v>351</v>
      </c>
      <c r="E77" s="242"/>
      <c r="F77" s="214"/>
      <c r="G77" s="214"/>
      <c r="H77" s="214"/>
      <c r="I77" s="214"/>
      <c r="J77" s="214"/>
      <c r="K77" s="214"/>
      <c r="L77" s="214"/>
      <c r="M77" s="214"/>
      <c r="N77" s="214"/>
    </row>
    <row r="78" spans="3:14" ht="15">
      <c r="C78" s="20"/>
      <c r="D78" s="238" t="s">
        <v>318</v>
      </c>
      <c r="E78" s="238"/>
      <c r="F78" s="238"/>
      <c r="G78" s="238"/>
      <c r="H78" s="238"/>
      <c r="I78" s="238"/>
      <c r="J78" s="238"/>
      <c r="K78" s="238"/>
      <c r="L78" s="238"/>
      <c r="M78" s="238"/>
      <c r="N78" s="238"/>
    </row>
    <row r="79" spans="3:14" ht="15">
      <c r="C79" s="20"/>
      <c r="D79" s="238"/>
      <c r="E79" s="238"/>
      <c r="F79" s="238"/>
      <c r="G79" s="238"/>
      <c r="H79" s="238"/>
      <c r="I79" s="238"/>
      <c r="J79" s="238"/>
      <c r="K79" s="238"/>
      <c r="L79" s="238"/>
      <c r="M79" s="238"/>
      <c r="N79" s="238"/>
    </row>
    <row r="80" spans="3:14" ht="15" customHeight="1">
      <c r="C80" s="20"/>
      <c r="D80" s="238"/>
      <c r="E80" s="238"/>
      <c r="F80" s="238"/>
      <c r="G80" s="238"/>
      <c r="H80" s="238"/>
      <c r="I80" s="238"/>
      <c r="J80" s="238"/>
      <c r="K80" s="238"/>
      <c r="L80" s="238"/>
      <c r="M80" s="238"/>
      <c r="N80" s="238"/>
    </row>
    <row r="81" spans="3:14" ht="15">
      <c r="C81" s="20"/>
      <c r="D81" s="238"/>
      <c r="E81" s="238"/>
      <c r="F81" s="238"/>
      <c r="G81" s="238"/>
      <c r="H81" s="238"/>
      <c r="I81" s="238"/>
      <c r="J81" s="238"/>
      <c r="K81" s="238"/>
      <c r="L81" s="238"/>
      <c r="M81" s="238"/>
      <c r="N81" s="238"/>
    </row>
    <row r="82" spans="3:14" ht="15">
      <c r="C82" s="20"/>
      <c r="D82" s="238"/>
      <c r="E82" s="238"/>
      <c r="F82" s="238"/>
      <c r="G82" s="238"/>
      <c r="H82" s="238"/>
      <c r="I82" s="238"/>
      <c r="J82" s="238"/>
      <c r="K82" s="238"/>
      <c r="L82" s="238"/>
      <c r="M82" s="238"/>
      <c r="N82" s="238"/>
    </row>
    <row r="83" spans="3:14" ht="15">
      <c r="C83" s="20"/>
      <c r="D83" s="238"/>
      <c r="E83" s="238"/>
      <c r="F83" s="238"/>
      <c r="G83" s="238"/>
      <c r="H83" s="238"/>
      <c r="I83" s="238"/>
      <c r="J83" s="238"/>
      <c r="K83" s="238"/>
      <c r="L83" s="238"/>
      <c r="M83" s="238"/>
      <c r="N83" s="238"/>
    </row>
    <row r="84" spans="3:14" ht="15">
      <c r="C84" s="20"/>
      <c r="D84" s="238"/>
      <c r="E84" s="238"/>
      <c r="F84" s="238"/>
      <c r="G84" s="238"/>
      <c r="H84" s="238"/>
      <c r="I84" s="238"/>
      <c r="J84" s="238"/>
      <c r="K84" s="238"/>
      <c r="L84" s="238"/>
      <c r="M84" s="238"/>
      <c r="N84" s="238"/>
    </row>
    <row r="85" spans="3:14" ht="15" customHeight="1">
      <c r="C85" s="20"/>
      <c r="D85" s="238"/>
      <c r="E85" s="238"/>
      <c r="F85" s="238"/>
      <c r="G85" s="238"/>
      <c r="H85" s="238"/>
      <c r="I85" s="238"/>
      <c r="J85" s="238"/>
      <c r="K85" s="238"/>
      <c r="L85" s="238"/>
      <c r="M85" s="238"/>
      <c r="N85" s="238"/>
    </row>
    <row r="86" spans="3:16" ht="15">
      <c r="C86" s="20"/>
      <c r="D86" s="238"/>
      <c r="E86" s="238"/>
      <c r="F86" s="238"/>
      <c r="G86" s="238"/>
      <c r="H86" s="238"/>
      <c r="I86" s="238"/>
      <c r="J86" s="238"/>
      <c r="K86" s="238"/>
      <c r="L86" s="238"/>
      <c r="M86" s="238"/>
      <c r="N86" s="238"/>
      <c r="O86" s="169"/>
      <c r="P86" s="169"/>
    </row>
    <row r="87" spans="3:16" ht="15" customHeight="1">
      <c r="C87" s="20"/>
      <c r="D87" s="78"/>
      <c r="E87" s="78"/>
      <c r="F87" s="78"/>
      <c r="G87" s="78"/>
      <c r="H87" s="78"/>
      <c r="I87" s="78"/>
      <c r="J87" s="78"/>
      <c r="K87" s="78"/>
      <c r="L87" s="78"/>
      <c r="M87" s="78"/>
      <c r="N87" s="78"/>
      <c r="O87" s="169"/>
      <c r="P87" s="169"/>
    </row>
    <row r="88" spans="3:16" ht="15">
      <c r="C88" s="20"/>
      <c r="D88" s="242" t="s">
        <v>151</v>
      </c>
      <c r="E88" s="242"/>
      <c r="F88" s="242"/>
      <c r="O88" s="169"/>
      <c r="P88" s="169"/>
    </row>
    <row r="89" spans="3:16" ht="15">
      <c r="C89" s="20"/>
      <c r="D89" s="238" t="s">
        <v>294</v>
      </c>
      <c r="E89" s="238"/>
      <c r="F89" s="238"/>
      <c r="G89" s="238"/>
      <c r="H89" s="238"/>
      <c r="I89" s="238"/>
      <c r="J89" s="238"/>
      <c r="K89" s="238"/>
      <c r="L89" s="238"/>
      <c r="M89" s="238"/>
      <c r="N89" s="238"/>
      <c r="O89" s="169"/>
      <c r="P89" s="169"/>
    </row>
    <row r="90" spans="3:16" ht="15">
      <c r="C90" s="20"/>
      <c r="D90" s="238"/>
      <c r="E90" s="238"/>
      <c r="F90" s="238"/>
      <c r="G90" s="238"/>
      <c r="H90" s="238"/>
      <c r="I90" s="238"/>
      <c r="J90" s="238"/>
      <c r="K90" s="238"/>
      <c r="L90" s="238"/>
      <c r="M90" s="238"/>
      <c r="N90" s="238"/>
      <c r="O90" s="169"/>
      <c r="P90" s="169"/>
    </row>
    <row r="91" spans="3:16" ht="15">
      <c r="C91" s="20"/>
      <c r="D91" s="238"/>
      <c r="E91" s="238"/>
      <c r="F91" s="238"/>
      <c r="G91" s="238"/>
      <c r="H91" s="238"/>
      <c r="I91" s="238"/>
      <c r="J91" s="238"/>
      <c r="K91" s="238"/>
      <c r="L91" s="238"/>
      <c r="M91" s="238"/>
      <c r="N91" s="238"/>
      <c r="O91" s="169"/>
      <c r="P91" s="169"/>
    </row>
    <row r="92" spans="3:16" ht="15">
      <c r="C92" s="20"/>
      <c r="D92" s="238"/>
      <c r="E92" s="238"/>
      <c r="F92" s="238"/>
      <c r="G92" s="238"/>
      <c r="H92" s="238"/>
      <c r="I92" s="238"/>
      <c r="J92" s="238"/>
      <c r="K92" s="238"/>
      <c r="L92" s="238"/>
      <c r="M92" s="238"/>
      <c r="N92" s="238"/>
      <c r="O92" s="169"/>
      <c r="P92" s="169"/>
    </row>
    <row r="93" spans="3:16" ht="15">
      <c r="C93" s="20"/>
      <c r="O93" s="169"/>
      <c r="P93" s="169"/>
    </row>
    <row r="94" spans="3:16" ht="15">
      <c r="C94" s="20"/>
      <c r="D94" s="251" t="s">
        <v>317</v>
      </c>
      <c r="E94" s="251"/>
      <c r="F94" s="251"/>
      <c r="G94" s="251"/>
      <c r="H94" s="251"/>
      <c r="I94" s="251"/>
      <c r="J94" s="251"/>
      <c r="K94" s="251"/>
      <c r="L94" s="251"/>
      <c r="M94" s="251"/>
      <c r="N94" s="251"/>
      <c r="O94" s="169"/>
      <c r="P94" s="169"/>
    </row>
    <row r="95" spans="3:16" ht="15">
      <c r="C95" s="20"/>
      <c r="D95" s="169"/>
      <c r="E95" s="169"/>
      <c r="F95" s="169"/>
      <c r="G95" s="169"/>
      <c r="H95" s="169"/>
      <c r="I95" s="169"/>
      <c r="J95" s="169"/>
      <c r="K95" s="169"/>
      <c r="L95" s="169"/>
      <c r="M95" s="169"/>
      <c r="N95" s="169"/>
      <c r="O95" s="169"/>
      <c r="P95" s="169"/>
    </row>
    <row r="96" spans="3:16" ht="15">
      <c r="C96" s="20"/>
      <c r="D96" s="238" t="s">
        <v>295</v>
      </c>
      <c r="E96" s="238"/>
      <c r="F96" s="238"/>
      <c r="G96" s="238"/>
      <c r="H96" s="238"/>
      <c r="I96" s="238"/>
      <c r="J96" s="238"/>
      <c r="K96" s="238"/>
      <c r="L96" s="238"/>
      <c r="M96" s="238"/>
      <c r="N96" s="238"/>
      <c r="O96" s="169"/>
      <c r="P96" s="169"/>
    </row>
    <row r="97" spans="3:16" ht="15">
      <c r="C97" s="20"/>
      <c r="D97" s="238"/>
      <c r="E97" s="238"/>
      <c r="F97" s="238"/>
      <c r="G97" s="238"/>
      <c r="H97" s="238"/>
      <c r="I97" s="238"/>
      <c r="J97" s="238"/>
      <c r="K97" s="238"/>
      <c r="L97" s="238"/>
      <c r="M97" s="238"/>
      <c r="N97" s="238"/>
      <c r="O97" s="169"/>
      <c r="P97" s="169"/>
    </row>
    <row r="98" spans="3:16" ht="15">
      <c r="C98" s="20"/>
      <c r="D98" s="238"/>
      <c r="E98" s="238"/>
      <c r="F98" s="238"/>
      <c r="G98" s="238"/>
      <c r="H98" s="238"/>
      <c r="I98" s="238"/>
      <c r="J98" s="238"/>
      <c r="K98" s="238"/>
      <c r="L98" s="238"/>
      <c r="M98" s="238"/>
      <c r="N98" s="238"/>
      <c r="O98" s="169"/>
      <c r="P98" s="169"/>
    </row>
    <row r="99" spans="3:16" ht="15" customHeight="1">
      <c r="C99" s="20"/>
      <c r="D99" s="238"/>
      <c r="E99" s="238"/>
      <c r="F99" s="238"/>
      <c r="G99" s="238"/>
      <c r="H99" s="238"/>
      <c r="I99" s="238"/>
      <c r="J99" s="238"/>
      <c r="K99" s="238"/>
      <c r="L99" s="238"/>
      <c r="M99" s="238"/>
      <c r="N99" s="238"/>
      <c r="O99" s="169"/>
      <c r="P99" s="169"/>
    </row>
    <row r="100" spans="3:16" ht="15">
      <c r="C100" s="20"/>
      <c r="D100" s="238"/>
      <c r="E100" s="238"/>
      <c r="F100" s="238"/>
      <c r="G100" s="238"/>
      <c r="H100" s="238"/>
      <c r="I100" s="238"/>
      <c r="J100" s="238"/>
      <c r="K100" s="238"/>
      <c r="L100" s="238"/>
      <c r="M100" s="238"/>
      <c r="N100" s="238"/>
      <c r="O100" s="169"/>
      <c r="P100" s="169"/>
    </row>
    <row r="101" spans="3:16" ht="15">
      <c r="C101" s="20"/>
      <c r="D101" s="238"/>
      <c r="E101" s="238"/>
      <c r="F101" s="238"/>
      <c r="G101" s="238"/>
      <c r="H101" s="238"/>
      <c r="I101" s="238"/>
      <c r="J101" s="238"/>
      <c r="K101" s="238"/>
      <c r="L101" s="238"/>
      <c r="M101" s="238"/>
      <c r="N101" s="238"/>
      <c r="O101" s="169"/>
      <c r="P101" s="169"/>
    </row>
    <row r="102" spans="3:16" ht="15">
      <c r="C102" s="20"/>
      <c r="D102" s="169"/>
      <c r="E102" s="169"/>
      <c r="F102" s="169"/>
      <c r="G102" s="169"/>
      <c r="H102" s="169"/>
      <c r="I102" s="169"/>
      <c r="J102" s="169"/>
      <c r="K102" s="169"/>
      <c r="L102" s="169"/>
      <c r="M102" s="169"/>
      <c r="N102" s="169"/>
      <c r="O102" s="169"/>
      <c r="P102" s="169"/>
    </row>
    <row r="103" spans="3:16" ht="15">
      <c r="C103" s="20"/>
      <c r="D103" s="238" t="s">
        <v>288</v>
      </c>
      <c r="E103" s="238"/>
      <c r="F103" s="238"/>
      <c r="G103" s="238"/>
      <c r="H103" s="238"/>
      <c r="I103" s="238"/>
      <c r="J103" s="238"/>
      <c r="K103" s="238"/>
      <c r="L103" s="238"/>
      <c r="M103" s="238"/>
      <c r="N103" s="238"/>
      <c r="O103" s="169"/>
      <c r="P103" s="169"/>
    </row>
    <row r="104" spans="3:16" ht="15">
      <c r="C104" s="20"/>
      <c r="D104" s="238"/>
      <c r="E104" s="238"/>
      <c r="F104" s="238"/>
      <c r="G104" s="238"/>
      <c r="H104" s="238"/>
      <c r="I104" s="238"/>
      <c r="J104" s="238"/>
      <c r="K104" s="238"/>
      <c r="L104" s="238"/>
      <c r="M104" s="238"/>
      <c r="N104" s="238"/>
      <c r="O104" s="169"/>
      <c r="P104" s="169"/>
    </row>
    <row r="105" spans="3:16" ht="15">
      <c r="C105" s="20"/>
      <c r="D105" s="238"/>
      <c r="E105" s="238"/>
      <c r="F105" s="238"/>
      <c r="G105" s="238"/>
      <c r="H105" s="238"/>
      <c r="I105" s="238"/>
      <c r="J105" s="238"/>
      <c r="K105" s="238"/>
      <c r="L105" s="238"/>
      <c r="M105" s="238"/>
      <c r="N105" s="238"/>
      <c r="O105" s="169"/>
      <c r="P105" s="169"/>
    </row>
    <row r="106" spans="3:16" ht="15">
      <c r="C106" s="20"/>
      <c r="D106" s="238"/>
      <c r="E106" s="238"/>
      <c r="F106" s="238"/>
      <c r="G106" s="238"/>
      <c r="H106" s="238"/>
      <c r="I106" s="238"/>
      <c r="J106" s="238"/>
      <c r="K106" s="238"/>
      <c r="L106" s="238"/>
      <c r="M106" s="238"/>
      <c r="N106" s="238"/>
      <c r="O106" s="169"/>
      <c r="P106" s="169"/>
    </row>
    <row r="107" spans="3:16" ht="15">
      <c r="C107" s="20"/>
      <c r="D107" s="169"/>
      <c r="E107" s="169"/>
      <c r="F107" s="169"/>
      <c r="G107" s="169"/>
      <c r="H107" s="169"/>
      <c r="I107" s="169"/>
      <c r="J107" s="169"/>
      <c r="K107" s="169"/>
      <c r="L107" s="169"/>
      <c r="M107" s="169"/>
      <c r="N107" s="169"/>
      <c r="O107" s="169"/>
      <c r="P107" s="169"/>
    </row>
    <row r="108" spans="3:16" ht="15">
      <c r="C108" s="20"/>
      <c r="D108" s="242" t="s">
        <v>290</v>
      </c>
      <c r="E108" s="242"/>
      <c r="F108" s="169"/>
      <c r="G108" s="169"/>
      <c r="H108" s="169"/>
      <c r="I108" s="169"/>
      <c r="J108" s="169"/>
      <c r="K108" s="169"/>
      <c r="L108" s="169"/>
      <c r="M108" s="169"/>
      <c r="N108" s="169"/>
      <c r="O108" s="169"/>
      <c r="P108" s="169"/>
    </row>
    <row r="109" spans="3:14" ht="15" customHeight="1">
      <c r="C109" s="20"/>
      <c r="D109" s="238" t="s">
        <v>341</v>
      </c>
      <c r="E109" s="238"/>
      <c r="F109" s="238"/>
      <c r="G109" s="238"/>
      <c r="H109" s="238"/>
      <c r="I109" s="238"/>
      <c r="J109" s="238"/>
      <c r="K109" s="238"/>
      <c r="L109" s="238"/>
      <c r="M109" s="238"/>
      <c r="N109" s="238"/>
    </row>
    <row r="110" spans="3:14" ht="15">
      <c r="C110" s="20"/>
      <c r="D110" s="238"/>
      <c r="E110" s="238"/>
      <c r="F110" s="238"/>
      <c r="G110" s="238"/>
      <c r="H110" s="238"/>
      <c r="I110" s="238"/>
      <c r="J110" s="238"/>
      <c r="K110" s="238"/>
      <c r="L110" s="238"/>
      <c r="M110" s="238"/>
      <c r="N110" s="238"/>
    </row>
    <row r="111" spans="3:14" ht="15">
      <c r="C111" s="20"/>
      <c r="D111" s="238"/>
      <c r="E111" s="238"/>
      <c r="F111" s="238"/>
      <c r="G111" s="238"/>
      <c r="H111" s="238"/>
      <c r="I111" s="238"/>
      <c r="J111" s="238"/>
      <c r="K111" s="238"/>
      <c r="L111" s="238"/>
      <c r="M111" s="238"/>
      <c r="N111" s="238"/>
    </row>
    <row r="112" spans="3:14" ht="15">
      <c r="C112" s="20"/>
      <c r="D112" s="238"/>
      <c r="E112" s="238"/>
      <c r="F112" s="238"/>
      <c r="G112" s="238"/>
      <c r="H112" s="238"/>
      <c r="I112" s="238"/>
      <c r="J112" s="238"/>
      <c r="K112" s="238"/>
      <c r="L112" s="238"/>
      <c r="M112" s="238"/>
      <c r="N112" s="238"/>
    </row>
    <row r="113" ht="15">
      <c r="C113" s="21"/>
    </row>
    <row r="118" spans="4:5" ht="15">
      <c r="D118" s="170"/>
      <c r="E118" s="170"/>
    </row>
    <row r="119" spans="4:14" ht="15">
      <c r="D119" s="78"/>
      <c r="E119" s="78"/>
      <c r="F119" s="78"/>
      <c r="G119" s="78"/>
      <c r="H119" s="78"/>
      <c r="I119" s="78"/>
      <c r="J119" s="78"/>
      <c r="K119" s="78"/>
      <c r="L119" s="78"/>
      <c r="M119" s="78"/>
      <c r="N119" s="78"/>
    </row>
    <row r="120" spans="4:14" ht="15">
      <c r="D120" s="78"/>
      <c r="E120" s="78"/>
      <c r="F120" s="78"/>
      <c r="G120" s="78"/>
      <c r="H120" s="78"/>
      <c r="I120" s="78"/>
      <c r="J120" s="78"/>
      <c r="K120" s="78"/>
      <c r="L120" s="78"/>
      <c r="M120" s="78"/>
      <c r="N120" s="78"/>
    </row>
    <row r="121" spans="4:14" ht="15">
      <c r="D121" s="78"/>
      <c r="E121" s="78"/>
      <c r="F121" s="78"/>
      <c r="G121" s="78"/>
      <c r="H121" s="78"/>
      <c r="I121" s="78"/>
      <c r="J121" s="78"/>
      <c r="K121" s="78"/>
      <c r="L121" s="78"/>
      <c r="M121" s="78"/>
      <c r="N121" s="78"/>
    </row>
  </sheetData>
  <sheetProtection sheet="1" objects="1" scenarios="1"/>
  <mergeCells count="34">
    <mergeCell ref="F41:G41"/>
    <mergeCell ref="D47:N50"/>
    <mergeCell ref="D43:M43"/>
    <mergeCell ref="D5:E5"/>
    <mergeCell ref="D16:N16"/>
    <mergeCell ref="D18:E18"/>
    <mergeCell ref="F18:G18"/>
    <mergeCell ref="D41:E41"/>
    <mergeCell ref="D103:N106"/>
    <mergeCell ref="D88:F88"/>
    <mergeCell ref="D108:E108"/>
    <mergeCell ref="D109:N112"/>
    <mergeCell ref="C2:O2"/>
    <mergeCell ref="D11:N14"/>
    <mergeCell ref="D51:N52"/>
    <mergeCell ref="C3:E3"/>
    <mergeCell ref="M3:N3"/>
    <mergeCell ref="D6:N8"/>
    <mergeCell ref="D62:N71"/>
    <mergeCell ref="D73:N75"/>
    <mergeCell ref="D94:N94"/>
    <mergeCell ref="D89:N92"/>
    <mergeCell ref="D96:N101"/>
    <mergeCell ref="D78:N86"/>
    <mergeCell ref="D77:E77"/>
    <mergeCell ref="D10:E10"/>
    <mergeCell ref="D20:N22"/>
    <mergeCell ref="D25:N39"/>
    <mergeCell ref="D61:E61"/>
    <mergeCell ref="D54:E54"/>
    <mergeCell ref="D55:N59"/>
    <mergeCell ref="H41:I41"/>
    <mergeCell ref="D24:E24"/>
    <mergeCell ref="D44:M44"/>
  </mergeCells>
  <dataValidations count="2">
    <dataValidation allowBlank="1" showInputMessage="1" showErrorMessage="1" prompt="Guidance will appear like this." sqref="N43"/>
    <dataValidation allowBlank="1" showInputMessage="1" showErrorMessage="1" prompt="Sources of information for default values will be stored like this. " sqref="N44"/>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1"/>
  <dimension ref="C2:R146"/>
  <sheetViews>
    <sheetView zoomScalePageLayoutView="0" workbookViewId="0" topLeftCell="A1">
      <selection activeCell="C3" sqref="C3:E3"/>
    </sheetView>
  </sheetViews>
  <sheetFormatPr defaultColWidth="9.140625" defaultRowHeight="15"/>
  <cols>
    <col min="1" max="1" width="9.140625" style="75" customWidth="1"/>
    <col min="2" max="2" width="2.8515625" style="75" customWidth="1"/>
    <col min="3" max="3" width="1.421875" style="75" customWidth="1"/>
    <col min="4" max="13" width="9.140625" style="75" customWidth="1"/>
    <col min="14" max="14" width="10.140625" style="75" customWidth="1"/>
    <col min="15" max="16384" width="9.140625" style="75" customWidth="1"/>
  </cols>
  <sheetData>
    <row r="2" spans="3:15" ht="26.25">
      <c r="C2" s="239" t="str">
        <f>Inputs!C2</f>
        <v>Resource Efficient Scotland - Hospital food waste disposal calculator </v>
      </c>
      <c r="D2" s="239"/>
      <c r="E2" s="239"/>
      <c r="F2" s="239"/>
      <c r="G2" s="239"/>
      <c r="H2" s="239"/>
      <c r="I2" s="239"/>
      <c r="J2" s="239"/>
      <c r="K2" s="239"/>
      <c r="L2" s="239"/>
      <c r="M2" s="239"/>
      <c r="N2" s="239"/>
      <c r="O2" s="239"/>
    </row>
    <row r="3" spans="3:14" ht="21">
      <c r="C3" s="240" t="s">
        <v>139</v>
      </c>
      <c r="D3" s="240"/>
      <c r="E3" s="240"/>
      <c r="K3" s="153"/>
      <c r="L3" s="87"/>
      <c r="M3" s="241"/>
      <c r="N3" s="241"/>
    </row>
    <row r="5" spans="3:15" ht="15">
      <c r="C5" s="20"/>
      <c r="D5" s="251" t="s">
        <v>302</v>
      </c>
      <c r="E5" s="251"/>
      <c r="F5" s="251"/>
      <c r="G5" s="251"/>
      <c r="H5" s="251"/>
      <c r="I5" s="251"/>
      <c r="J5" s="251"/>
      <c r="K5" s="251"/>
      <c r="L5" s="251"/>
      <c r="M5" s="251"/>
      <c r="N5" s="251"/>
      <c r="O5" s="251"/>
    </row>
    <row r="6" spans="3:15" ht="15" customHeight="1">
      <c r="C6" s="20"/>
      <c r="D6" s="251"/>
      <c r="E6" s="251"/>
      <c r="F6" s="251"/>
      <c r="G6" s="251"/>
      <c r="H6" s="251"/>
      <c r="I6" s="251"/>
      <c r="J6" s="251"/>
      <c r="K6" s="251"/>
      <c r="L6" s="251"/>
      <c r="M6" s="251"/>
      <c r="N6" s="251"/>
      <c r="O6" s="251"/>
    </row>
    <row r="7" ht="15">
      <c r="C7" s="20"/>
    </row>
    <row r="8" spans="3:4" ht="15">
      <c r="C8" s="20"/>
      <c r="D8" s="88" t="s">
        <v>140</v>
      </c>
    </row>
    <row r="9" spans="3:15" ht="15">
      <c r="C9" s="20"/>
      <c r="D9" s="238" t="s">
        <v>311</v>
      </c>
      <c r="E9" s="238"/>
      <c r="F9" s="238"/>
      <c r="G9" s="238"/>
      <c r="H9" s="238"/>
      <c r="I9" s="238"/>
      <c r="J9" s="238"/>
      <c r="K9" s="238"/>
      <c r="L9" s="238"/>
      <c r="M9" s="238"/>
      <c r="N9" s="238"/>
      <c r="O9" s="238"/>
    </row>
    <row r="10" spans="3:15" ht="15">
      <c r="C10" s="20"/>
      <c r="D10" s="238"/>
      <c r="E10" s="238"/>
      <c r="F10" s="238"/>
      <c r="G10" s="238"/>
      <c r="H10" s="238"/>
      <c r="I10" s="238"/>
      <c r="J10" s="238"/>
      <c r="K10" s="238"/>
      <c r="L10" s="238"/>
      <c r="M10" s="238"/>
      <c r="N10" s="238"/>
      <c r="O10" s="238"/>
    </row>
    <row r="11" ht="15" customHeight="1">
      <c r="C11" s="20"/>
    </row>
    <row r="12" ht="15" customHeight="1">
      <c r="C12" s="20"/>
    </row>
    <row r="13" ht="15">
      <c r="C13" s="20"/>
    </row>
    <row r="14" ht="15">
      <c r="C14" s="20"/>
    </row>
    <row r="15" ht="15">
      <c r="C15" s="20"/>
    </row>
    <row r="16" ht="15">
      <c r="C16" s="20"/>
    </row>
    <row r="17" ht="15">
      <c r="C17" s="20"/>
    </row>
    <row r="18" ht="15">
      <c r="C18" s="20"/>
    </row>
    <row r="19" ht="15">
      <c r="C19" s="20"/>
    </row>
    <row r="20" ht="15">
      <c r="C20" s="20"/>
    </row>
    <row r="21" ht="15">
      <c r="C21" s="20"/>
    </row>
    <row r="22" ht="15">
      <c r="C22" s="20"/>
    </row>
    <row r="23" ht="15">
      <c r="C23" s="20"/>
    </row>
    <row r="24" ht="15">
      <c r="C24" s="20"/>
    </row>
    <row r="25" ht="15">
      <c r="C25" s="20"/>
    </row>
    <row r="26" spans="3:18" ht="15" customHeight="1">
      <c r="C26" s="20"/>
      <c r="O26" s="91"/>
      <c r="P26" s="91"/>
      <c r="Q26" s="91"/>
      <c r="R26" s="91"/>
    </row>
    <row r="27" spans="3:18" ht="15">
      <c r="C27" s="20"/>
      <c r="O27" s="91"/>
      <c r="P27" s="91"/>
      <c r="Q27" s="91"/>
      <c r="R27" s="91"/>
    </row>
    <row r="28" spans="3:18" ht="15">
      <c r="C28" s="20"/>
      <c r="O28" s="91"/>
      <c r="P28" s="91"/>
      <c r="Q28" s="91"/>
      <c r="R28" s="91"/>
    </row>
    <row r="29" spans="3:18" ht="15" customHeight="1">
      <c r="C29" s="20"/>
      <c r="D29" s="238" t="s">
        <v>315</v>
      </c>
      <c r="E29" s="238"/>
      <c r="F29" s="238"/>
      <c r="G29" s="238"/>
      <c r="H29" s="238"/>
      <c r="I29" s="238"/>
      <c r="J29" s="238"/>
      <c r="K29" s="238"/>
      <c r="L29" s="238"/>
      <c r="M29" s="238"/>
      <c r="N29" s="238"/>
      <c r="O29" s="238"/>
      <c r="P29" s="91"/>
      <c r="Q29" s="91"/>
      <c r="R29" s="91"/>
    </row>
    <row r="30" spans="3:18" ht="15">
      <c r="C30" s="20"/>
      <c r="D30" s="238"/>
      <c r="E30" s="238"/>
      <c r="F30" s="238"/>
      <c r="G30" s="238"/>
      <c r="H30" s="238"/>
      <c r="I30" s="238"/>
      <c r="J30" s="238"/>
      <c r="K30" s="238"/>
      <c r="L30" s="238"/>
      <c r="M30" s="238"/>
      <c r="N30" s="238"/>
      <c r="O30" s="238"/>
      <c r="P30" s="91"/>
      <c r="Q30" s="91"/>
      <c r="R30" s="91"/>
    </row>
    <row r="31" spans="3:18" ht="15">
      <c r="C31" s="20"/>
      <c r="D31" s="238"/>
      <c r="E31" s="238"/>
      <c r="F31" s="238"/>
      <c r="G31" s="238"/>
      <c r="H31" s="238"/>
      <c r="I31" s="238"/>
      <c r="J31" s="238"/>
      <c r="K31" s="238"/>
      <c r="L31" s="238"/>
      <c r="M31" s="238"/>
      <c r="N31" s="238"/>
      <c r="O31" s="238"/>
      <c r="P31" s="175"/>
      <c r="Q31" s="175"/>
      <c r="R31" s="175"/>
    </row>
    <row r="32" spans="3:15" ht="15">
      <c r="C32" s="20"/>
      <c r="D32" s="238"/>
      <c r="E32" s="238"/>
      <c r="F32" s="238"/>
      <c r="G32" s="238"/>
      <c r="H32" s="238"/>
      <c r="I32" s="238"/>
      <c r="J32" s="238"/>
      <c r="K32" s="238"/>
      <c r="L32" s="238"/>
      <c r="M32" s="238"/>
      <c r="N32" s="238"/>
      <c r="O32" s="238"/>
    </row>
    <row r="33" spans="3:15" ht="15">
      <c r="C33" s="20"/>
      <c r="D33" s="238"/>
      <c r="E33" s="238"/>
      <c r="F33" s="238"/>
      <c r="G33" s="238"/>
      <c r="H33" s="238"/>
      <c r="I33" s="238"/>
      <c r="J33" s="238"/>
      <c r="K33" s="238"/>
      <c r="L33" s="238"/>
      <c r="M33" s="238"/>
      <c r="N33" s="238"/>
      <c r="O33" s="238"/>
    </row>
    <row r="34" spans="3:15" ht="15">
      <c r="C34" s="20"/>
      <c r="D34" s="238"/>
      <c r="E34" s="238"/>
      <c r="F34" s="238"/>
      <c r="G34" s="238"/>
      <c r="H34" s="238"/>
      <c r="I34" s="238"/>
      <c r="J34" s="238"/>
      <c r="K34" s="238"/>
      <c r="L34" s="238"/>
      <c r="M34" s="238"/>
      <c r="N34" s="238"/>
      <c r="O34" s="238"/>
    </row>
    <row r="35" spans="3:15" ht="15">
      <c r="C35" s="20"/>
      <c r="D35" s="78"/>
      <c r="E35" s="78"/>
      <c r="F35" s="78"/>
      <c r="G35" s="78"/>
      <c r="H35" s="78"/>
      <c r="I35" s="78"/>
      <c r="J35" s="78"/>
      <c r="K35" s="78"/>
      <c r="L35" s="78"/>
      <c r="M35" s="78"/>
      <c r="N35" s="78"/>
      <c r="O35" s="78"/>
    </row>
    <row r="36" spans="3:15" ht="15" customHeight="1">
      <c r="C36" s="20"/>
      <c r="D36" s="251" t="s">
        <v>303</v>
      </c>
      <c r="E36" s="251"/>
      <c r="F36" s="251"/>
      <c r="G36" s="251"/>
      <c r="H36" s="251"/>
      <c r="I36" s="251"/>
      <c r="J36" s="251"/>
      <c r="K36" s="251"/>
      <c r="L36" s="251"/>
      <c r="M36" s="251"/>
      <c r="N36" s="251"/>
      <c r="O36" s="251"/>
    </row>
    <row r="37" spans="3:15" ht="15">
      <c r="C37" s="20"/>
      <c r="D37" s="251"/>
      <c r="E37" s="251"/>
      <c r="F37" s="251"/>
      <c r="G37" s="251"/>
      <c r="H37" s="251"/>
      <c r="I37" s="251"/>
      <c r="J37" s="251"/>
      <c r="K37" s="251"/>
      <c r="L37" s="251"/>
      <c r="M37" s="251"/>
      <c r="N37" s="251"/>
      <c r="O37" s="251"/>
    </row>
    <row r="38" spans="3:15" ht="15">
      <c r="C38" s="20"/>
      <c r="D38" s="251"/>
      <c r="E38" s="251"/>
      <c r="F38" s="251"/>
      <c r="G38" s="251"/>
      <c r="H38" s="251"/>
      <c r="I38" s="251"/>
      <c r="J38" s="251"/>
      <c r="K38" s="251"/>
      <c r="L38" s="251"/>
      <c r="M38" s="251"/>
      <c r="N38" s="251"/>
      <c r="O38" s="251"/>
    </row>
    <row r="39" spans="3:15" ht="15">
      <c r="C39" s="20"/>
      <c r="D39" s="251"/>
      <c r="E39" s="251"/>
      <c r="F39" s="251"/>
      <c r="G39" s="251"/>
      <c r="H39" s="251"/>
      <c r="I39" s="251"/>
      <c r="J39" s="251"/>
      <c r="K39" s="251"/>
      <c r="L39" s="251"/>
      <c r="M39" s="251"/>
      <c r="N39" s="251"/>
      <c r="O39" s="251"/>
    </row>
    <row r="40" ht="15">
      <c r="C40" s="20"/>
    </row>
    <row r="41" ht="15">
      <c r="C41" s="20"/>
    </row>
    <row r="42" ht="15">
      <c r="C42" s="20"/>
    </row>
    <row r="43" ht="15">
      <c r="C43" s="20"/>
    </row>
    <row r="44" ht="15" customHeight="1">
      <c r="C44" s="20"/>
    </row>
    <row r="45" ht="15">
      <c r="C45" s="20"/>
    </row>
    <row r="46" ht="15">
      <c r="C46" s="20"/>
    </row>
    <row r="47" spans="3:18" ht="15">
      <c r="C47" s="20"/>
      <c r="O47" s="91"/>
      <c r="P47" s="91"/>
      <c r="Q47" s="91"/>
      <c r="R47" s="91"/>
    </row>
    <row r="48" spans="3:18" ht="15" customHeight="1">
      <c r="C48" s="20"/>
      <c r="O48" s="91"/>
      <c r="P48" s="91"/>
      <c r="Q48" s="91"/>
      <c r="R48" s="91"/>
    </row>
    <row r="49" ht="15">
      <c r="C49" s="20"/>
    </row>
    <row r="50" ht="15">
      <c r="C50" s="20"/>
    </row>
    <row r="51" ht="15">
      <c r="C51" s="20"/>
    </row>
    <row r="52" ht="15">
      <c r="C52" s="20"/>
    </row>
    <row r="53" ht="15">
      <c r="C53" s="20"/>
    </row>
    <row r="54" ht="15" customHeight="1">
      <c r="C54" s="20"/>
    </row>
    <row r="55" ht="15">
      <c r="C55" s="20"/>
    </row>
    <row r="56" ht="15">
      <c r="C56" s="20"/>
    </row>
    <row r="57" ht="15">
      <c r="C57" s="20"/>
    </row>
    <row r="58" ht="15">
      <c r="C58" s="20"/>
    </row>
    <row r="59" ht="15">
      <c r="C59" s="20"/>
    </row>
    <row r="60" ht="15">
      <c r="C60" s="20"/>
    </row>
    <row r="61" ht="15" customHeight="1">
      <c r="C61" s="20"/>
    </row>
    <row r="62" ht="15">
      <c r="C62" s="20"/>
    </row>
    <row r="63" ht="15">
      <c r="C63" s="20"/>
    </row>
    <row r="64" ht="15">
      <c r="C64" s="20"/>
    </row>
    <row r="65" ht="15">
      <c r="C65" s="20"/>
    </row>
    <row r="66" ht="15">
      <c r="C66" s="20"/>
    </row>
    <row r="67" ht="15">
      <c r="C67" s="20"/>
    </row>
    <row r="68" ht="15">
      <c r="C68" s="20"/>
    </row>
    <row r="69" ht="15">
      <c r="C69" s="20"/>
    </row>
    <row r="70" ht="15">
      <c r="C70" s="20"/>
    </row>
    <row r="71" ht="15">
      <c r="C71" s="20"/>
    </row>
    <row r="72" ht="15">
      <c r="C72" s="20"/>
    </row>
    <row r="73" ht="15" customHeight="1">
      <c r="C73" s="20"/>
    </row>
    <row r="74" ht="15">
      <c r="C74" s="20"/>
    </row>
    <row r="75" ht="15">
      <c r="C75" s="20"/>
    </row>
    <row r="76" ht="15">
      <c r="C76" s="20"/>
    </row>
    <row r="77" ht="15">
      <c r="C77" s="20"/>
    </row>
    <row r="78" ht="15">
      <c r="C78" s="20"/>
    </row>
    <row r="79" ht="15" customHeight="1">
      <c r="C79" s="20"/>
    </row>
    <row r="80" ht="15">
      <c r="C80" s="20"/>
    </row>
    <row r="81" ht="15">
      <c r="C81" s="20"/>
    </row>
    <row r="82" spans="3:16" ht="15">
      <c r="C82" s="20"/>
      <c r="O82" s="169"/>
      <c r="P82" s="169"/>
    </row>
    <row r="83" spans="3:16" ht="15" customHeight="1">
      <c r="C83" s="20"/>
      <c r="O83" s="169"/>
      <c r="P83" s="169"/>
    </row>
    <row r="84" spans="3:16" ht="15">
      <c r="C84" s="20"/>
      <c r="O84" s="169"/>
      <c r="P84" s="169"/>
    </row>
    <row r="85" spans="3:16" ht="15">
      <c r="C85" s="20"/>
      <c r="O85" s="169"/>
      <c r="P85" s="169"/>
    </row>
    <row r="86" spans="3:16" ht="15">
      <c r="C86" s="20"/>
      <c r="O86" s="169"/>
      <c r="P86" s="169"/>
    </row>
    <row r="87" spans="3:16" ht="15">
      <c r="C87" s="20"/>
      <c r="D87" s="251" t="s">
        <v>319</v>
      </c>
      <c r="E87" s="251"/>
      <c r="F87" s="251"/>
      <c r="G87" s="251"/>
      <c r="H87" s="251"/>
      <c r="I87" s="251"/>
      <c r="J87" s="251"/>
      <c r="K87" s="251"/>
      <c r="L87" s="251"/>
      <c r="M87" s="251"/>
      <c r="N87" s="251"/>
      <c r="O87" s="251"/>
      <c r="P87" s="169"/>
    </row>
    <row r="88" spans="3:16" ht="15">
      <c r="C88" s="20"/>
      <c r="D88" s="251"/>
      <c r="E88" s="251"/>
      <c r="F88" s="251"/>
      <c r="G88" s="251"/>
      <c r="H88" s="251"/>
      <c r="I88" s="251"/>
      <c r="J88" s="251"/>
      <c r="K88" s="251"/>
      <c r="L88" s="251"/>
      <c r="M88" s="251"/>
      <c r="N88" s="251"/>
      <c r="O88" s="251"/>
      <c r="P88" s="169"/>
    </row>
    <row r="89" spans="3:16" ht="15" customHeight="1">
      <c r="C89" s="20"/>
      <c r="O89" s="169"/>
      <c r="P89" s="169"/>
    </row>
    <row r="90" spans="3:16" ht="15">
      <c r="C90" s="20"/>
      <c r="D90" s="251" t="s">
        <v>305</v>
      </c>
      <c r="E90" s="251"/>
      <c r="F90" s="251"/>
      <c r="G90" s="251"/>
      <c r="H90" s="251"/>
      <c r="I90" s="251"/>
      <c r="J90" s="251"/>
      <c r="K90" s="251"/>
      <c r="L90" s="251"/>
      <c r="M90" s="251"/>
      <c r="N90" s="251"/>
      <c r="O90" s="251"/>
      <c r="P90" s="169"/>
    </row>
    <row r="91" spans="3:16" ht="15">
      <c r="C91" s="20"/>
      <c r="D91" s="251"/>
      <c r="E91" s="251"/>
      <c r="F91" s="251"/>
      <c r="G91" s="251"/>
      <c r="H91" s="251"/>
      <c r="I91" s="251"/>
      <c r="J91" s="251"/>
      <c r="K91" s="251"/>
      <c r="L91" s="251"/>
      <c r="M91" s="251"/>
      <c r="N91" s="251"/>
      <c r="O91" s="251"/>
      <c r="P91" s="169"/>
    </row>
    <row r="92" spans="3:16" ht="15">
      <c r="C92" s="20"/>
      <c r="D92" s="251"/>
      <c r="E92" s="251"/>
      <c r="F92" s="251"/>
      <c r="G92" s="251"/>
      <c r="H92" s="251"/>
      <c r="I92" s="251"/>
      <c r="J92" s="251"/>
      <c r="K92" s="251"/>
      <c r="L92" s="251"/>
      <c r="M92" s="251"/>
      <c r="N92" s="251"/>
      <c r="O92" s="251"/>
      <c r="P92" s="169"/>
    </row>
    <row r="93" spans="3:16" ht="15">
      <c r="C93" s="20"/>
      <c r="O93" s="169"/>
      <c r="P93" s="169"/>
    </row>
    <row r="94" spans="3:16" ht="15">
      <c r="C94" s="20"/>
      <c r="O94" s="169"/>
      <c r="P94" s="169"/>
    </row>
    <row r="95" spans="3:16" ht="15">
      <c r="C95" s="20"/>
      <c r="O95" s="169"/>
      <c r="P95" s="169"/>
    </row>
    <row r="96" spans="3:16" ht="15">
      <c r="C96" s="20"/>
      <c r="O96" s="169"/>
      <c r="P96" s="169"/>
    </row>
    <row r="97" ht="15">
      <c r="C97" s="20"/>
    </row>
    <row r="98" ht="15">
      <c r="C98" s="20"/>
    </row>
    <row r="99" ht="15">
      <c r="C99" s="20"/>
    </row>
    <row r="100" ht="15">
      <c r="C100" s="20"/>
    </row>
    <row r="101" ht="15">
      <c r="C101" s="20"/>
    </row>
    <row r="102" ht="15">
      <c r="C102" s="20"/>
    </row>
    <row r="103" ht="15">
      <c r="C103" s="20"/>
    </row>
    <row r="104" spans="3:5" ht="15">
      <c r="C104" s="20"/>
      <c r="D104" s="170"/>
      <c r="E104" s="170"/>
    </row>
    <row r="105" spans="3:14" ht="15">
      <c r="C105" s="20"/>
      <c r="D105" s="78"/>
      <c r="E105" s="78"/>
      <c r="F105" s="78"/>
      <c r="G105" s="78"/>
      <c r="H105" s="78"/>
      <c r="I105" s="78"/>
      <c r="J105" s="78"/>
      <c r="K105" s="78"/>
      <c r="L105" s="78"/>
      <c r="M105" s="78"/>
      <c r="N105" s="78"/>
    </row>
    <row r="106" spans="3:14" ht="15">
      <c r="C106" s="20"/>
      <c r="D106" s="78"/>
      <c r="E106" s="78"/>
      <c r="F106" s="78"/>
      <c r="G106" s="78"/>
      <c r="H106" s="78"/>
      <c r="I106" s="78"/>
      <c r="J106" s="78"/>
      <c r="K106" s="78"/>
      <c r="L106" s="78"/>
      <c r="M106" s="78"/>
      <c r="N106" s="78"/>
    </row>
    <row r="107" spans="3:14" ht="15">
      <c r="C107" s="20"/>
      <c r="D107" s="78"/>
      <c r="E107" s="78"/>
      <c r="F107" s="78"/>
      <c r="G107" s="78"/>
      <c r="H107" s="78"/>
      <c r="I107" s="78"/>
      <c r="J107" s="78"/>
      <c r="K107" s="78"/>
      <c r="L107" s="78"/>
      <c r="M107" s="78"/>
      <c r="N107" s="78"/>
    </row>
    <row r="108" ht="15">
      <c r="C108" s="20"/>
    </row>
    <row r="109" ht="15">
      <c r="C109" s="20"/>
    </row>
    <row r="110" ht="15">
      <c r="C110" s="20"/>
    </row>
    <row r="111" ht="15">
      <c r="C111" s="20"/>
    </row>
    <row r="112" ht="15">
      <c r="C112" s="20"/>
    </row>
    <row r="113" ht="15">
      <c r="C113" s="20"/>
    </row>
    <row r="114" ht="15">
      <c r="C114" s="20"/>
    </row>
    <row r="115" ht="15">
      <c r="C115" s="20"/>
    </row>
    <row r="116" ht="15">
      <c r="C116" s="20"/>
    </row>
    <row r="117" ht="15">
      <c r="C117" s="20"/>
    </row>
    <row r="118" spans="3:15" ht="15">
      <c r="C118" s="20"/>
      <c r="D118" s="251" t="s">
        <v>306</v>
      </c>
      <c r="E118" s="251"/>
      <c r="F118" s="251"/>
      <c r="G118" s="251"/>
      <c r="H118" s="251"/>
      <c r="I118" s="251"/>
      <c r="J118" s="251"/>
      <c r="K118" s="251"/>
      <c r="L118" s="251"/>
      <c r="M118" s="251"/>
      <c r="N118" s="251"/>
      <c r="O118" s="251"/>
    </row>
    <row r="119" spans="3:15" ht="15">
      <c r="C119" s="20"/>
      <c r="D119" s="251"/>
      <c r="E119" s="251"/>
      <c r="F119" s="251"/>
      <c r="G119" s="251"/>
      <c r="H119" s="251"/>
      <c r="I119" s="251"/>
      <c r="J119" s="251"/>
      <c r="K119" s="251"/>
      <c r="L119" s="251"/>
      <c r="M119" s="251"/>
      <c r="N119" s="251"/>
      <c r="O119" s="251"/>
    </row>
    <row r="120" spans="3:15" ht="15">
      <c r="C120" s="20"/>
      <c r="D120" s="251"/>
      <c r="E120" s="251"/>
      <c r="F120" s="251"/>
      <c r="G120" s="251"/>
      <c r="H120" s="251"/>
      <c r="I120" s="251"/>
      <c r="J120" s="251"/>
      <c r="K120" s="251"/>
      <c r="L120" s="251"/>
      <c r="M120" s="251"/>
      <c r="N120" s="251"/>
      <c r="O120" s="251"/>
    </row>
    <row r="121" ht="15">
      <c r="C121" s="20"/>
    </row>
    <row r="122" spans="3:4" ht="15">
      <c r="C122" s="20"/>
      <c r="D122" s="88" t="s">
        <v>138</v>
      </c>
    </row>
    <row r="123" spans="3:15" ht="15">
      <c r="C123" s="20"/>
      <c r="D123" s="251" t="s">
        <v>310</v>
      </c>
      <c r="E123" s="251"/>
      <c r="F123" s="251"/>
      <c r="G123" s="251"/>
      <c r="H123" s="251"/>
      <c r="I123" s="251"/>
      <c r="J123" s="251"/>
      <c r="K123" s="251"/>
      <c r="L123" s="251"/>
      <c r="M123" s="251"/>
      <c r="N123" s="251"/>
      <c r="O123" s="251"/>
    </row>
    <row r="124" spans="3:15" ht="15">
      <c r="C124" s="20"/>
      <c r="D124" s="251"/>
      <c r="E124" s="251"/>
      <c r="F124" s="251"/>
      <c r="G124" s="251"/>
      <c r="H124" s="251"/>
      <c r="I124" s="251"/>
      <c r="J124" s="251"/>
      <c r="K124" s="251"/>
      <c r="L124" s="251"/>
      <c r="M124" s="251"/>
      <c r="N124" s="251"/>
      <c r="O124" s="251"/>
    </row>
    <row r="125" ht="15">
      <c r="C125" s="20"/>
    </row>
    <row r="126" spans="3:4" ht="15">
      <c r="C126" s="20"/>
      <c r="D126"/>
    </row>
    <row r="127" ht="15">
      <c r="C127" s="20"/>
    </row>
    <row r="128" ht="15">
      <c r="C128" s="20"/>
    </row>
    <row r="129" ht="15">
      <c r="C129" s="20"/>
    </row>
    <row r="130" ht="15">
      <c r="C130" s="20"/>
    </row>
    <row r="131" ht="15">
      <c r="C131" s="20"/>
    </row>
    <row r="132" ht="15">
      <c r="C132" s="20"/>
    </row>
    <row r="133" ht="15">
      <c r="C133" s="20"/>
    </row>
    <row r="134" ht="15">
      <c r="C134" s="20"/>
    </row>
    <row r="135" ht="15">
      <c r="C135" s="20"/>
    </row>
    <row r="136" ht="15">
      <c r="C136" s="20"/>
    </row>
    <row r="137" ht="15">
      <c r="C137" s="20"/>
    </row>
    <row r="138" ht="15">
      <c r="C138" s="20"/>
    </row>
    <row r="139" ht="15">
      <c r="C139" s="20"/>
    </row>
    <row r="140" spans="3:15" ht="15">
      <c r="C140" s="20"/>
      <c r="D140" s="251" t="s">
        <v>369</v>
      </c>
      <c r="E140" s="251"/>
      <c r="F140" s="251"/>
      <c r="G140" s="251"/>
      <c r="H140" s="251"/>
      <c r="I140" s="251"/>
      <c r="J140" s="251"/>
      <c r="K140" s="251"/>
      <c r="L140" s="251"/>
      <c r="M140" s="251"/>
      <c r="N140" s="251"/>
      <c r="O140" s="251"/>
    </row>
    <row r="141" spans="3:15" ht="15">
      <c r="C141" s="20"/>
      <c r="D141" s="251"/>
      <c r="E141" s="251"/>
      <c r="F141" s="251"/>
      <c r="G141" s="251"/>
      <c r="H141" s="251"/>
      <c r="I141" s="251"/>
      <c r="J141" s="251"/>
      <c r="K141" s="251"/>
      <c r="L141" s="251"/>
      <c r="M141" s="251"/>
      <c r="N141" s="251"/>
      <c r="O141" s="251"/>
    </row>
    <row r="142" spans="3:15" ht="15">
      <c r="C142" s="20"/>
      <c r="D142" s="251" t="s">
        <v>312</v>
      </c>
      <c r="E142" s="251"/>
      <c r="F142" s="251"/>
      <c r="G142" s="251"/>
      <c r="H142" s="251"/>
      <c r="I142" s="251"/>
      <c r="J142" s="251"/>
      <c r="K142" s="251"/>
      <c r="L142" s="251"/>
      <c r="M142" s="251"/>
      <c r="N142" s="251"/>
      <c r="O142" s="251"/>
    </row>
    <row r="143" spans="3:15" ht="15">
      <c r="C143" s="20"/>
      <c r="D143" s="251"/>
      <c r="E143" s="251"/>
      <c r="F143" s="251"/>
      <c r="G143" s="251"/>
      <c r="H143" s="251"/>
      <c r="I143" s="251"/>
      <c r="J143" s="251"/>
      <c r="K143" s="251"/>
      <c r="L143" s="251"/>
      <c r="M143" s="251"/>
      <c r="N143" s="251"/>
      <c r="O143" s="251"/>
    </row>
    <row r="144" ht="15">
      <c r="C144" s="20"/>
    </row>
    <row r="145" spans="3:4" ht="15">
      <c r="C145" s="20"/>
      <c r="D145" s="75" t="s">
        <v>350</v>
      </c>
    </row>
    <row r="146" ht="15">
      <c r="C146" s="20"/>
    </row>
  </sheetData>
  <sheetProtection sheet="1" objects="1" scenarios="1"/>
  <mergeCells count="13">
    <mergeCell ref="D29:O34"/>
    <mergeCell ref="D87:O88"/>
    <mergeCell ref="D36:O39"/>
    <mergeCell ref="D140:O141"/>
    <mergeCell ref="D142:O143"/>
    <mergeCell ref="C2:O2"/>
    <mergeCell ref="C3:E3"/>
    <mergeCell ref="M3:N3"/>
    <mergeCell ref="D5:O6"/>
    <mergeCell ref="D118:O120"/>
    <mergeCell ref="D123:O124"/>
    <mergeCell ref="D90:O92"/>
    <mergeCell ref="D9:O1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tabColor theme="4" tint="0.5999900102615356"/>
  </sheetPr>
  <dimension ref="A1:W162"/>
  <sheetViews>
    <sheetView zoomScalePageLayoutView="0" workbookViewId="0" topLeftCell="A1">
      <selection activeCell="D8" sqref="D8:E8"/>
    </sheetView>
  </sheetViews>
  <sheetFormatPr defaultColWidth="9.140625" defaultRowHeight="15"/>
  <cols>
    <col min="1" max="1" width="9.140625" style="0" customWidth="1"/>
    <col min="2" max="2" width="2.8515625" style="0" customWidth="1"/>
    <col min="3" max="3" width="69.140625" style="0" customWidth="1"/>
    <col min="4" max="5" width="16.421875" style="0" customWidth="1"/>
    <col min="6" max="6" width="3.00390625" style="0" customWidth="1"/>
    <col min="8" max="8" width="2.8515625" style="0" customWidth="1"/>
    <col min="17" max="17" width="49.00390625" style="0" bestFit="1" customWidth="1"/>
  </cols>
  <sheetData>
    <row r="1" spans="1:23" ht="15">
      <c r="A1" s="75"/>
      <c r="B1" s="75"/>
      <c r="C1" s="75"/>
      <c r="D1" s="75"/>
      <c r="E1" s="75"/>
      <c r="F1" s="75"/>
      <c r="G1" s="75"/>
      <c r="H1" s="75"/>
      <c r="I1" s="75"/>
      <c r="J1" s="75"/>
      <c r="K1" s="75"/>
      <c r="L1" s="75"/>
      <c r="M1" s="75"/>
      <c r="N1" s="75"/>
      <c r="O1" s="75"/>
      <c r="P1" s="75"/>
      <c r="Q1" s="75"/>
      <c r="R1" s="75"/>
      <c r="S1" s="75"/>
      <c r="T1" s="75"/>
      <c r="U1" s="75"/>
      <c r="V1" s="75"/>
      <c r="W1" s="75"/>
    </row>
    <row r="2" spans="1:23" ht="26.25">
      <c r="A2" s="76"/>
      <c r="B2" s="76"/>
      <c r="C2" s="239" t="s">
        <v>161</v>
      </c>
      <c r="D2" s="239"/>
      <c r="E2" s="239"/>
      <c r="F2" s="239"/>
      <c r="G2" s="239"/>
      <c r="H2" s="239"/>
      <c r="I2" s="77"/>
      <c r="J2" s="77"/>
      <c r="K2" s="75"/>
      <c r="L2" s="75"/>
      <c r="M2" s="75"/>
      <c r="N2" s="75"/>
      <c r="O2" s="75"/>
      <c r="P2" s="75"/>
      <c r="Q2" s="75"/>
      <c r="R2" s="75"/>
      <c r="S2" s="75"/>
      <c r="T2" s="75"/>
      <c r="U2" s="75"/>
      <c r="V2" s="75"/>
      <c r="W2" s="75"/>
    </row>
    <row r="3" spans="1:23" ht="21">
      <c r="A3" s="75"/>
      <c r="B3" s="75"/>
      <c r="C3" s="86" t="s">
        <v>140</v>
      </c>
      <c r="D3" s="75"/>
      <c r="E3" s="77"/>
      <c r="F3" s="77"/>
      <c r="G3" s="75"/>
      <c r="H3" s="75"/>
      <c r="I3" s="75"/>
      <c r="J3" s="75"/>
      <c r="K3" s="75"/>
      <c r="L3" s="75"/>
      <c r="M3" s="75"/>
      <c r="N3" s="75"/>
      <c r="O3" s="75"/>
      <c r="P3" s="75"/>
      <c r="Q3" s="75"/>
      <c r="R3" s="75"/>
      <c r="S3" s="75"/>
      <c r="T3" s="75"/>
      <c r="U3" s="75"/>
      <c r="V3" s="75"/>
      <c r="W3" s="75"/>
    </row>
    <row r="4" spans="1:23" ht="15" customHeight="1">
      <c r="A4" s="75"/>
      <c r="B4" s="75"/>
      <c r="C4" s="86"/>
      <c r="D4" s="75"/>
      <c r="E4" s="77"/>
      <c r="F4" s="77"/>
      <c r="G4" s="75"/>
      <c r="H4" s="75"/>
      <c r="I4" s="75"/>
      <c r="J4" s="75"/>
      <c r="K4" s="75"/>
      <c r="L4" s="75"/>
      <c r="M4" s="75"/>
      <c r="N4" s="75"/>
      <c r="O4" s="75"/>
      <c r="P4" s="75"/>
      <c r="Q4" s="75"/>
      <c r="R4" s="75"/>
      <c r="S4" s="75"/>
      <c r="T4" s="75"/>
      <c r="U4" s="75"/>
      <c r="V4" s="75"/>
      <c r="W4" s="75"/>
    </row>
    <row r="5" spans="1:23" ht="15" customHeight="1">
      <c r="A5" s="75"/>
      <c r="B5" s="21"/>
      <c r="C5" s="113" t="s">
        <v>165</v>
      </c>
      <c r="D5" s="21"/>
      <c r="E5" s="109"/>
      <c r="F5" s="109"/>
      <c r="G5" s="21"/>
      <c r="H5" s="21"/>
      <c r="I5" s="75"/>
      <c r="J5" s="75"/>
      <c r="K5" s="75"/>
      <c r="L5" s="75"/>
      <c r="M5" s="75"/>
      <c r="N5" s="75"/>
      <c r="O5" s="75"/>
      <c r="P5" s="75"/>
      <c r="Q5" s="75"/>
      <c r="R5" s="75"/>
      <c r="S5" s="75"/>
      <c r="T5" s="75"/>
      <c r="U5" s="75"/>
      <c r="V5" s="75"/>
      <c r="W5" s="75"/>
    </row>
    <row r="6" spans="1:23" ht="15" customHeight="1" thickBot="1">
      <c r="A6" s="75"/>
      <c r="B6" s="119"/>
      <c r="C6" s="21"/>
      <c r="D6" s="21"/>
      <c r="E6" s="109"/>
      <c r="F6" s="109"/>
      <c r="G6" s="110"/>
      <c r="H6" s="21"/>
      <c r="I6" s="75"/>
      <c r="J6" s="75"/>
      <c r="K6" s="75"/>
      <c r="L6" s="75"/>
      <c r="M6" s="75"/>
      <c r="N6" s="75"/>
      <c r="O6" s="75"/>
      <c r="P6" s="75"/>
      <c r="Q6" s="75"/>
      <c r="R6" s="75"/>
      <c r="S6" s="75"/>
      <c r="T6" s="75"/>
      <c r="U6" s="75"/>
      <c r="V6" s="75"/>
      <c r="W6" s="75"/>
    </row>
    <row r="7" spans="1:23" ht="15">
      <c r="A7" s="21"/>
      <c r="B7" s="20"/>
      <c r="C7" s="259" t="s">
        <v>27</v>
      </c>
      <c r="D7" s="260"/>
      <c r="E7" s="261"/>
      <c r="F7" s="108" t="s">
        <v>80</v>
      </c>
      <c r="G7" s="235" t="s">
        <v>121</v>
      </c>
      <c r="H7" s="21"/>
      <c r="I7" s="75"/>
      <c r="J7" s="75"/>
      <c r="K7" s="75"/>
      <c r="L7" s="75"/>
      <c r="M7" s="75"/>
      <c r="N7" s="75"/>
      <c r="O7" s="75"/>
      <c r="P7" s="75"/>
      <c r="Q7" s="84" t="s">
        <v>49</v>
      </c>
      <c r="R7" s="81" t="s">
        <v>46</v>
      </c>
      <c r="S7" s="75"/>
      <c r="T7" s="75"/>
      <c r="U7" s="75"/>
      <c r="V7" s="75"/>
      <c r="W7" s="75"/>
    </row>
    <row r="8" spans="1:23" ht="15">
      <c r="A8" s="75"/>
      <c r="B8" s="160"/>
      <c r="C8" s="174" t="s">
        <v>297</v>
      </c>
      <c r="D8" s="266"/>
      <c r="E8" s="267"/>
      <c r="F8" s="173"/>
      <c r="G8" s="235" t="s">
        <v>121</v>
      </c>
      <c r="H8" s="75"/>
      <c r="I8" s="75"/>
      <c r="J8" s="75"/>
      <c r="K8" s="75"/>
      <c r="L8" s="78"/>
      <c r="M8" s="78"/>
      <c r="N8" s="78"/>
      <c r="O8" s="75"/>
      <c r="P8" s="75"/>
      <c r="Q8" s="206" t="s">
        <v>5</v>
      </c>
      <c r="R8" s="206">
        <v>9</v>
      </c>
      <c r="S8" s="75"/>
      <c r="T8" s="75"/>
      <c r="U8" s="75"/>
      <c r="V8" s="75"/>
      <c r="W8" s="75"/>
    </row>
    <row r="9" spans="1:23" ht="15">
      <c r="A9" s="21"/>
      <c r="B9" s="20"/>
      <c r="C9" s="17" t="s">
        <v>29</v>
      </c>
      <c r="D9" s="264">
        <v>0</v>
      </c>
      <c r="E9" s="265"/>
      <c r="F9" s="108"/>
      <c r="G9" s="235" t="s">
        <v>121</v>
      </c>
      <c r="H9" s="111"/>
      <c r="I9" s="78"/>
      <c r="J9" s="78"/>
      <c r="K9" s="91"/>
      <c r="L9" s="78"/>
      <c r="M9" s="78"/>
      <c r="N9" s="78"/>
      <c r="O9" s="75"/>
      <c r="P9" s="81"/>
      <c r="Q9" s="207" t="s">
        <v>6</v>
      </c>
      <c r="R9" s="207">
        <v>2</v>
      </c>
      <c r="S9" s="75"/>
      <c r="T9" s="75"/>
      <c r="U9" s="75"/>
      <c r="V9" s="75"/>
      <c r="W9" s="75"/>
    </row>
    <row r="10" spans="1:23" ht="15.75" thickBot="1">
      <c r="A10" s="21"/>
      <c r="B10" s="20"/>
      <c r="C10" s="61" t="s">
        <v>314</v>
      </c>
      <c r="D10" s="262" t="s">
        <v>5</v>
      </c>
      <c r="E10" s="263"/>
      <c r="F10" s="108"/>
      <c r="G10" s="235" t="s">
        <v>121</v>
      </c>
      <c r="H10" s="111"/>
      <c r="I10" s="78"/>
      <c r="J10" s="78"/>
      <c r="K10" s="78"/>
      <c r="L10" s="75"/>
      <c r="M10" s="75"/>
      <c r="N10" s="75"/>
      <c r="O10" s="75"/>
      <c r="P10" s="81"/>
      <c r="Q10" s="207" t="s">
        <v>7</v>
      </c>
      <c r="R10" s="207">
        <v>3</v>
      </c>
      <c r="S10" s="75"/>
      <c r="T10" s="75"/>
      <c r="U10" s="75"/>
      <c r="V10" s="75"/>
      <c r="W10" s="75"/>
    </row>
    <row r="11" spans="1:23" ht="15.75" thickBot="1">
      <c r="A11" s="75"/>
      <c r="B11" s="20"/>
      <c r="C11" s="21"/>
      <c r="D11" s="21"/>
      <c r="E11" s="21"/>
      <c r="F11" s="112"/>
      <c r="G11" s="21"/>
      <c r="H11" s="21"/>
      <c r="I11" s="75"/>
      <c r="J11" s="75"/>
      <c r="K11" s="75"/>
      <c r="L11" s="75"/>
      <c r="M11" s="75"/>
      <c r="N11" s="75"/>
      <c r="O11" s="75"/>
      <c r="P11" s="81"/>
      <c r="Q11" s="207" t="s">
        <v>8</v>
      </c>
      <c r="R11" s="207">
        <v>4</v>
      </c>
      <c r="S11" s="75"/>
      <c r="T11" s="75"/>
      <c r="U11" s="75"/>
      <c r="V11" s="75"/>
      <c r="W11" s="75"/>
    </row>
    <row r="12" spans="1:23" ht="15">
      <c r="A12" s="75"/>
      <c r="B12" s="20"/>
      <c r="C12" s="14" t="s">
        <v>19</v>
      </c>
      <c r="D12" s="8" t="s">
        <v>10</v>
      </c>
      <c r="E12" s="9" t="s">
        <v>11</v>
      </c>
      <c r="F12" s="112"/>
      <c r="G12" s="21"/>
      <c r="H12" s="21"/>
      <c r="I12" s="75"/>
      <c r="J12" s="75"/>
      <c r="K12" s="75"/>
      <c r="L12" s="75"/>
      <c r="M12" s="75"/>
      <c r="N12" s="75"/>
      <c r="O12" s="75"/>
      <c r="P12" s="81"/>
      <c r="Q12" s="207" t="s">
        <v>9</v>
      </c>
      <c r="R12" s="207">
        <v>5</v>
      </c>
      <c r="S12" s="75"/>
      <c r="T12" s="75"/>
      <c r="U12" s="75"/>
      <c r="V12" s="75"/>
      <c r="W12" s="75"/>
    </row>
    <row r="13" spans="1:23" ht="15.75" thickBot="1">
      <c r="A13" s="21"/>
      <c r="B13" s="20"/>
      <c r="C13" s="15" t="s">
        <v>84</v>
      </c>
      <c r="D13" s="134">
        <f>D9*'Default values'!Q78*VLOOKUP(D10,'Default values'!$P$80:$Q$82,2,FALSE)/1000</f>
        <v>0</v>
      </c>
      <c r="E13" s="229"/>
      <c r="F13" s="108">
        <f>IF(E13="",D13,E13)</f>
        <v>0</v>
      </c>
      <c r="G13" s="235" t="s">
        <v>121</v>
      </c>
      <c r="H13" s="21"/>
      <c r="I13" s="75"/>
      <c r="J13" s="75"/>
      <c r="K13" s="75"/>
      <c r="L13" s="75"/>
      <c r="M13" s="75"/>
      <c r="N13" s="75"/>
      <c r="O13" s="75"/>
      <c r="P13" s="81"/>
      <c r="Q13" s="207" t="s">
        <v>330</v>
      </c>
      <c r="R13" s="207">
        <v>6</v>
      </c>
      <c r="S13" s="75"/>
      <c r="T13" s="75"/>
      <c r="U13" s="75"/>
      <c r="V13" s="75"/>
      <c r="W13" s="75"/>
    </row>
    <row r="14" spans="1:23" ht="15" customHeight="1" thickBot="1">
      <c r="A14" s="21"/>
      <c r="B14" s="20"/>
      <c r="C14" s="21"/>
      <c r="D14" s="21"/>
      <c r="E14" s="21"/>
      <c r="F14" s="112"/>
      <c r="G14" s="21"/>
      <c r="H14" s="21"/>
      <c r="I14" s="75"/>
      <c r="J14" s="75"/>
      <c r="K14" s="75"/>
      <c r="L14" s="75"/>
      <c r="M14" s="75"/>
      <c r="N14" s="75"/>
      <c r="O14" s="75"/>
      <c r="P14" s="75"/>
      <c r="Q14" s="207" t="s">
        <v>331</v>
      </c>
      <c r="R14" s="207">
        <v>7</v>
      </c>
      <c r="S14" s="75"/>
      <c r="T14" s="75"/>
      <c r="U14" s="75"/>
      <c r="V14" s="75"/>
      <c r="W14" s="75"/>
    </row>
    <row r="15" spans="1:23" ht="15">
      <c r="A15" s="21"/>
      <c r="B15" s="20"/>
      <c r="C15" s="7" t="s">
        <v>18</v>
      </c>
      <c r="D15" s="8" t="s">
        <v>10</v>
      </c>
      <c r="E15" s="9" t="s">
        <v>11</v>
      </c>
      <c r="F15" s="108"/>
      <c r="G15" s="234" t="s">
        <v>121</v>
      </c>
      <c r="H15" s="21"/>
      <c r="I15" s="75"/>
      <c r="J15" s="75"/>
      <c r="K15" s="75"/>
      <c r="L15" s="75"/>
      <c r="M15" s="75"/>
      <c r="N15" s="75"/>
      <c r="O15" s="75"/>
      <c r="P15" s="75"/>
      <c r="Q15" s="208" t="s">
        <v>329</v>
      </c>
      <c r="R15" s="208">
        <v>8</v>
      </c>
      <c r="S15" s="75"/>
      <c r="T15" s="75"/>
      <c r="U15" s="75"/>
      <c r="V15" s="75"/>
      <c r="W15" s="75"/>
    </row>
    <row r="16" spans="1:23" ht="15">
      <c r="A16" s="21"/>
      <c r="B16" s="20"/>
      <c r="C16" s="5" t="s">
        <v>21</v>
      </c>
      <c r="D16" s="3">
        <f>'Default values'!Q85</f>
        <v>0.00077</v>
      </c>
      <c r="E16" s="230"/>
      <c r="F16" s="108">
        <f aca="true" t="shared" si="0" ref="F16:F24">IF(E16="",D16,E16)</f>
        <v>0.00077</v>
      </c>
      <c r="G16" s="234" t="s">
        <v>121</v>
      </c>
      <c r="H16" s="21"/>
      <c r="I16" s="75"/>
      <c r="J16" s="75"/>
      <c r="K16" s="75"/>
      <c r="L16" s="75"/>
      <c r="M16" s="75"/>
      <c r="N16" s="75"/>
      <c r="O16" s="75"/>
      <c r="P16" s="75"/>
      <c r="Q16" s="75"/>
      <c r="R16" s="75"/>
      <c r="S16" s="75"/>
      <c r="T16" s="75"/>
      <c r="U16" s="75"/>
      <c r="V16" s="75"/>
      <c r="W16" s="75"/>
    </row>
    <row r="17" spans="1:23" ht="15">
      <c r="A17" s="21"/>
      <c r="B17" s="20"/>
      <c r="C17" s="5" t="s">
        <v>22</v>
      </c>
      <c r="D17" s="3">
        <f>'Default values'!Q86</f>
        <v>0.0914</v>
      </c>
      <c r="E17" s="230"/>
      <c r="F17" s="108">
        <f t="shared" si="0"/>
        <v>0.0914</v>
      </c>
      <c r="G17" s="234" t="s">
        <v>121</v>
      </c>
      <c r="H17" s="21"/>
      <c r="I17" s="75"/>
      <c r="J17" s="75"/>
      <c r="K17" s="75"/>
      <c r="L17" s="75"/>
      <c r="M17" s="75"/>
      <c r="N17" s="75"/>
      <c r="O17" s="75"/>
      <c r="P17" s="75"/>
      <c r="Q17" s="84" t="s">
        <v>50</v>
      </c>
      <c r="R17" s="81" t="s">
        <v>47</v>
      </c>
      <c r="S17" s="75"/>
      <c r="T17" s="75"/>
      <c r="U17" s="75"/>
      <c r="V17" s="75"/>
      <c r="W17" s="75"/>
    </row>
    <row r="18" spans="1:23" ht="15">
      <c r="A18" s="21"/>
      <c r="B18" s="20"/>
      <c r="C18" s="5" t="s">
        <v>236</v>
      </c>
      <c r="D18" s="143">
        <f>'Default values'!Q87</f>
        <v>7.86</v>
      </c>
      <c r="E18" s="231"/>
      <c r="F18" s="108">
        <f t="shared" si="0"/>
        <v>7.86</v>
      </c>
      <c r="G18" s="234" t="s">
        <v>121</v>
      </c>
      <c r="H18" s="21"/>
      <c r="I18" s="75"/>
      <c r="J18" s="75"/>
      <c r="K18" s="75"/>
      <c r="L18" s="75"/>
      <c r="M18" s="75"/>
      <c r="N18" s="75"/>
      <c r="O18" s="75"/>
      <c r="P18" s="75"/>
      <c r="Q18" s="69" t="s">
        <v>5</v>
      </c>
      <c r="R18" s="74">
        <v>6</v>
      </c>
      <c r="S18" s="75"/>
      <c r="T18" s="75"/>
      <c r="U18" s="75"/>
      <c r="V18" s="75"/>
      <c r="W18" s="75"/>
    </row>
    <row r="19" spans="1:23" ht="15">
      <c r="A19" s="21"/>
      <c r="B19" s="20"/>
      <c r="C19" s="5" t="s">
        <v>224</v>
      </c>
      <c r="D19" s="143">
        <f>'Default values'!Q88</f>
        <v>13.33</v>
      </c>
      <c r="E19" s="231"/>
      <c r="F19" s="108">
        <f t="shared" si="0"/>
        <v>13.33</v>
      </c>
      <c r="G19" s="234" t="s">
        <v>121</v>
      </c>
      <c r="H19" s="21"/>
      <c r="I19" s="75"/>
      <c r="J19" s="75"/>
      <c r="K19" s="75"/>
      <c r="L19" s="75"/>
      <c r="M19" s="75"/>
      <c r="N19" s="75"/>
      <c r="O19" s="75"/>
      <c r="P19" s="81"/>
      <c r="Q19" s="72" t="s">
        <v>23</v>
      </c>
      <c r="R19" s="70">
        <v>2</v>
      </c>
      <c r="S19" s="75"/>
      <c r="T19" s="75"/>
      <c r="U19" s="75"/>
      <c r="V19" s="75"/>
      <c r="W19" s="75"/>
    </row>
    <row r="20" spans="1:23" ht="15">
      <c r="A20" s="21"/>
      <c r="B20" s="20"/>
      <c r="C20" s="5" t="s">
        <v>235</v>
      </c>
      <c r="D20" s="143">
        <f>'Default values'!Q89</f>
        <v>13.33</v>
      </c>
      <c r="E20" s="231"/>
      <c r="F20" s="108">
        <f t="shared" si="0"/>
        <v>13.33</v>
      </c>
      <c r="G20" s="234" t="s">
        <v>121</v>
      </c>
      <c r="H20" s="21"/>
      <c r="I20" s="75"/>
      <c r="J20" s="75"/>
      <c r="K20" s="75"/>
      <c r="L20" s="75"/>
      <c r="M20" s="75"/>
      <c r="N20" s="75"/>
      <c r="O20" s="75"/>
      <c r="P20" s="81"/>
      <c r="Q20" s="72" t="s">
        <v>24</v>
      </c>
      <c r="R20" s="70">
        <v>3</v>
      </c>
      <c r="S20" s="75"/>
      <c r="T20" s="75"/>
      <c r="U20" s="75"/>
      <c r="V20" s="75"/>
      <c r="W20" s="75"/>
    </row>
    <row r="21" spans="1:23" ht="15">
      <c r="A21" s="21"/>
      <c r="B21" s="20"/>
      <c r="C21" s="5" t="s">
        <v>225</v>
      </c>
      <c r="D21" s="143">
        <f>'Default values'!Q90</f>
        <v>19.48</v>
      </c>
      <c r="E21" s="231"/>
      <c r="F21" s="108">
        <f t="shared" si="0"/>
        <v>19.48</v>
      </c>
      <c r="G21" s="234" t="s">
        <v>121</v>
      </c>
      <c r="H21" s="21"/>
      <c r="I21" s="75" t="s">
        <v>292</v>
      </c>
      <c r="J21" s="75"/>
      <c r="K21" s="75"/>
      <c r="L21" s="75"/>
      <c r="M21" s="75"/>
      <c r="N21" s="75"/>
      <c r="O21" s="75"/>
      <c r="P21" s="75"/>
      <c r="Q21" s="72" t="s">
        <v>25</v>
      </c>
      <c r="R21" s="70">
        <v>4</v>
      </c>
      <c r="S21" s="75"/>
      <c r="T21" s="75"/>
      <c r="U21" s="75"/>
      <c r="V21" s="75"/>
      <c r="W21" s="75"/>
    </row>
    <row r="22" spans="1:23" ht="15">
      <c r="A22" s="21"/>
      <c r="B22" s="20"/>
      <c r="C22" s="5" t="s">
        <v>164</v>
      </c>
      <c r="D22" s="143">
        <f>'Default values'!Q91</f>
        <v>88</v>
      </c>
      <c r="E22" s="231"/>
      <c r="F22" s="108">
        <f t="shared" si="0"/>
        <v>88</v>
      </c>
      <c r="G22" s="234" t="s">
        <v>121</v>
      </c>
      <c r="H22" s="21"/>
      <c r="I22" s="75"/>
      <c r="J22" s="75"/>
      <c r="K22" s="75"/>
      <c r="L22" s="75"/>
      <c r="M22" s="75"/>
      <c r="N22" s="75"/>
      <c r="O22" s="75"/>
      <c r="P22" s="75"/>
      <c r="Q22" s="73" t="s">
        <v>26</v>
      </c>
      <c r="R22" s="71">
        <v>5</v>
      </c>
      <c r="S22" s="75"/>
      <c r="T22" s="75"/>
      <c r="U22" s="75"/>
      <c r="V22" s="75"/>
      <c r="W22" s="75"/>
    </row>
    <row r="23" spans="1:23" ht="17.25">
      <c r="A23" s="21"/>
      <c r="B23" s="20"/>
      <c r="C23" s="11" t="s">
        <v>345</v>
      </c>
      <c r="D23" s="3">
        <f>'Default values'!Q92</f>
        <v>0</v>
      </c>
      <c r="E23" s="231"/>
      <c r="F23" s="108">
        <f t="shared" si="0"/>
        <v>0</v>
      </c>
      <c r="G23" s="234" t="s">
        <v>121</v>
      </c>
      <c r="H23" s="21"/>
      <c r="I23" s="75"/>
      <c r="J23" s="75"/>
      <c r="K23" s="75"/>
      <c r="L23" s="75"/>
      <c r="M23" s="75"/>
      <c r="N23" s="75"/>
      <c r="O23" s="75"/>
      <c r="P23" s="75"/>
      <c r="Q23" s="75"/>
      <c r="R23" s="75"/>
      <c r="S23" s="75"/>
      <c r="T23" s="75"/>
      <c r="U23" s="75"/>
      <c r="V23" s="75"/>
      <c r="W23" s="75"/>
    </row>
    <row r="24" spans="1:23" ht="15.75" thickBot="1">
      <c r="A24" s="21"/>
      <c r="B24" s="20"/>
      <c r="C24" s="12" t="s">
        <v>163</v>
      </c>
      <c r="D24" s="10">
        <f>'Default values'!Q93</f>
        <v>365</v>
      </c>
      <c r="E24" s="229"/>
      <c r="F24" s="108">
        <f t="shared" si="0"/>
        <v>365</v>
      </c>
      <c r="G24" s="234" t="s">
        <v>121</v>
      </c>
      <c r="H24" s="21"/>
      <c r="I24" s="75"/>
      <c r="J24" s="75"/>
      <c r="K24" s="75"/>
      <c r="L24" s="75"/>
      <c r="M24" s="75"/>
      <c r="N24" s="75"/>
      <c r="O24" s="75"/>
      <c r="P24" s="75"/>
      <c r="Q24" s="83" t="s">
        <v>51</v>
      </c>
      <c r="R24" s="81" t="s">
        <v>48</v>
      </c>
      <c r="S24" s="75"/>
      <c r="T24" s="75"/>
      <c r="U24" s="75"/>
      <c r="V24" s="75"/>
      <c r="W24" s="75"/>
    </row>
    <row r="25" spans="1:23" ht="15.75" thickBot="1">
      <c r="A25" s="21"/>
      <c r="B25" s="120"/>
      <c r="C25" s="114"/>
      <c r="D25" s="114"/>
      <c r="E25" s="114"/>
      <c r="F25" s="115"/>
      <c r="G25" s="116"/>
      <c r="H25" s="114"/>
      <c r="I25" s="114"/>
      <c r="J25" s="114"/>
      <c r="K25" s="114"/>
      <c r="L25" s="75"/>
      <c r="M25" s="75"/>
      <c r="N25" s="75"/>
      <c r="O25" s="75"/>
      <c r="P25" s="75"/>
      <c r="Q25" s="74" t="s">
        <v>5</v>
      </c>
      <c r="R25" s="74">
        <v>4</v>
      </c>
      <c r="S25" s="75"/>
      <c r="T25" s="75"/>
      <c r="U25" s="75"/>
      <c r="V25" s="75"/>
      <c r="W25" s="75"/>
    </row>
    <row r="26" spans="1:23" ht="15.75" thickTop="1">
      <c r="A26" s="21"/>
      <c r="B26" s="21"/>
      <c r="C26" s="21"/>
      <c r="D26" s="21"/>
      <c r="E26" s="21"/>
      <c r="F26" s="112"/>
      <c r="G26" s="107"/>
      <c r="H26" s="21"/>
      <c r="I26" s="21"/>
      <c r="J26" s="21"/>
      <c r="K26" s="21"/>
      <c r="L26" s="75"/>
      <c r="M26" s="75"/>
      <c r="N26" s="75"/>
      <c r="O26" s="75"/>
      <c r="P26" s="81"/>
      <c r="Q26" s="72" t="s">
        <v>31</v>
      </c>
      <c r="R26" s="72">
        <v>2</v>
      </c>
      <c r="S26" s="75"/>
      <c r="T26" s="75"/>
      <c r="U26" s="75"/>
      <c r="V26" s="75"/>
      <c r="W26" s="75"/>
    </row>
    <row r="27" spans="1:23" ht="15.75">
      <c r="A27" s="21"/>
      <c r="B27" s="21"/>
      <c r="C27" s="113" t="s">
        <v>166</v>
      </c>
      <c r="D27" s="21"/>
      <c r="E27" s="21"/>
      <c r="F27" s="112"/>
      <c r="G27" s="107"/>
      <c r="H27" s="21"/>
      <c r="I27" s="21"/>
      <c r="J27" s="21"/>
      <c r="K27" s="21"/>
      <c r="L27" s="75"/>
      <c r="M27" s="75"/>
      <c r="N27" s="75"/>
      <c r="O27" s="75"/>
      <c r="P27" s="81"/>
      <c r="Q27" s="73" t="s">
        <v>158</v>
      </c>
      <c r="R27" s="73">
        <v>3</v>
      </c>
      <c r="S27" s="75"/>
      <c r="T27" s="75"/>
      <c r="U27" s="75"/>
      <c r="V27" s="75"/>
      <c r="W27" s="75"/>
    </row>
    <row r="28" spans="1:23" ht="15.75" thickBot="1">
      <c r="A28" s="21"/>
      <c r="B28" s="119"/>
      <c r="C28" s="75"/>
      <c r="D28" s="75"/>
      <c r="E28" s="75"/>
      <c r="F28" s="75"/>
      <c r="G28" s="75"/>
      <c r="H28" s="75"/>
      <c r="I28" s="75"/>
      <c r="J28" s="75"/>
      <c r="K28" s="75"/>
      <c r="L28" s="75"/>
      <c r="M28" s="75"/>
      <c r="N28" s="75"/>
      <c r="O28" s="75"/>
      <c r="P28" s="81"/>
      <c r="Q28" s="181"/>
      <c r="R28" s="181"/>
      <c r="S28" s="75"/>
      <c r="T28" s="75"/>
      <c r="U28" s="75"/>
      <c r="V28" s="75"/>
      <c r="W28" s="75"/>
    </row>
    <row r="29" spans="1:23" ht="15">
      <c r="A29" s="21"/>
      <c r="B29" s="20"/>
      <c r="C29" s="13" t="s">
        <v>313</v>
      </c>
      <c r="D29" s="79" t="s">
        <v>12</v>
      </c>
      <c r="E29" s="75"/>
      <c r="F29" s="80"/>
      <c r="G29" s="75"/>
      <c r="H29" s="75"/>
      <c r="I29" s="78"/>
      <c r="J29" s="78"/>
      <c r="K29" s="75"/>
      <c r="L29" s="75"/>
      <c r="M29" s="75"/>
      <c r="N29" s="75"/>
      <c r="O29" s="75"/>
      <c r="P29" s="81"/>
      <c r="Q29" s="83" t="s">
        <v>55</v>
      </c>
      <c r="R29" s="75"/>
      <c r="S29" s="75"/>
      <c r="T29" s="75"/>
      <c r="U29" s="75"/>
      <c r="V29" s="75"/>
      <c r="W29" s="75"/>
    </row>
    <row r="30" spans="1:23" ht="15.75" thickBot="1">
      <c r="A30" s="21"/>
      <c r="B30" s="20"/>
      <c r="C30" s="232" t="s">
        <v>5</v>
      </c>
      <c r="D30" s="79">
        <f>VLOOKUP(C30,Q8:R15,2,FALSE)</f>
        <v>9</v>
      </c>
      <c r="E30" s="75"/>
      <c r="F30" s="80"/>
      <c r="G30" s="234" t="s">
        <v>121</v>
      </c>
      <c r="H30" s="75"/>
      <c r="I30" s="75"/>
      <c r="J30" s="75"/>
      <c r="K30" s="75"/>
      <c r="L30" s="75"/>
      <c r="M30" s="75"/>
      <c r="N30" s="75"/>
      <c r="O30" s="75"/>
      <c r="P30" s="81"/>
      <c r="Q30" s="74" t="s">
        <v>5</v>
      </c>
      <c r="R30" s="75"/>
      <c r="S30" s="75"/>
      <c r="T30" s="75"/>
      <c r="U30" s="75"/>
      <c r="V30" s="75"/>
      <c r="W30" s="75"/>
    </row>
    <row r="31" spans="1:23" ht="15.75" thickBot="1">
      <c r="A31" s="21"/>
      <c r="B31" s="20"/>
      <c r="C31" s="75"/>
      <c r="D31" s="75"/>
      <c r="E31" s="75"/>
      <c r="F31" s="80"/>
      <c r="G31" s="75"/>
      <c r="H31" s="75"/>
      <c r="I31" s="75"/>
      <c r="J31" s="75"/>
      <c r="K31" s="75"/>
      <c r="L31" s="75"/>
      <c r="M31" s="75"/>
      <c r="N31" s="75"/>
      <c r="O31" s="75"/>
      <c r="P31" s="81"/>
      <c r="Q31" s="72" t="s">
        <v>52</v>
      </c>
      <c r="R31" s="82"/>
      <c r="S31" s="75"/>
      <c r="T31" s="75"/>
      <c r="U31" s="75"/>
      <c r="V31" s="75"/>
      <c r="W31" s="75"/>
    </row>
    <row r="32" spans="1:23" ht="15">
      <c r="A32" s="75"/>
      <c r="B32" s="20"/>
      <c r="C32" s="7" t="s">
        <v>34</v>
      </c>
      <c r="D32" s="8" t="s">
        <v>10</v>
      </c>
      <c r="E32" s="9" t="s">
        <v>11</v>
      </c>
      <c r="F32" s="80"/>
      <c r="G32" s="75"/>
      <c r="H32" s="75"/>
      <c r="I32" s="75"/>
      <c r="J32" s="75"/>
      <c r="K32" s="75"/>
      <c r="L32" s="75"/>
      <c r="M32" s="75"/>
      <c r="N32" s="75"/>
      <c r="O32" s="75"/>
      <c r="P32" s="81"/>
      <c r="Q32" s="205" t="s">
        <v>53</v>
      </c>
      <c r="R32" s="82"/>
      <c r="S32" s="75"/>
      <c r="T32" s="75"/>
      <c r="U32" s="75"/>
      <c r="V32" s="75"/>
      <c r="W32" s="75"/>
    </row>
    <row r="33" spans="1:23" ht="15">
      <c r="A33" s="75"/>
      <c r="B33" s="20"/>
      <c r="C33" s="128" t="s">
        <v>205</v>
      </c>
      <c r="D33" s="62" t="str">
        <f>VLOOKUP(C33,'Default values'!$P$9:$X$25,$D$30,FALSE)</f>
        <v>-</v>
      </c>
      <c r="E33" s="233"/>
      <c r="F33" s="59" t="str">
        <f>IF(E33="",D33,E33)</f>
        <v>-</v>
      </c>
      <c r="G33" s="234" t="s">
        <v>121</v>
      </c>
      <c r="H33" s="75"/>
      <c r="I33" s="75"/>
      <c r="J33" s="75"/>
      <c r="K33" s="75"/>
      <c r="L33" s="75"/>
      <c r="M33" s="75"/>
      <c r="N33" s="75"/>
      <c r="O33" s="75"/>
      <c r="P33" s="75"/>
      <c r="Q33" s="75"/>
      <c r="R33" s="75"/>
      <c r="S33" s="75"/>
      <c r="T33" s="75"/>
      <c r="U33" s="75"/>
      <c r="V33" s="75"/>
      <c r="W33" s="75"/>
    </row>
    <row r="34" spans="1:23" ht="15">
      <c r="A34" s="75"/>
      <c r="B34" s="20"/>
      <c r="C34" s="5" t="s">
        <v>216</v>
      </c>
      <c r="D34" s="3" t="str">
        <f>VLOOKUP(C34,'Default values'!$P$9:$X$25,$D$30,FALSE)</f>
        <v>-</v>
      </c>
      <c r="E34" s="230"/>
      <c r="F34" s="59" t="str">
        <f>IF(E34="",D34,E34)</f>
        <v>-</v>
      </c>
      <c r="G34" s="234" t="s">
        <v>121</v>
      </c>
      <c r="H34" s="75"/>
      <c r="I34" s="75"/>
      <c r="J34" s="75"/>
      <c r="K34" s="75"/>
      <c r="L34" s="75"/>
      <c r="M34" s="75"/>
      <c r="N34" s="75"/>
      <c r="O34" s="75"/>
      <c r="P34" s="75"/>
      <c r="Q34" s="75"/>
      <c r="R34" s="75"/>
      <c r="S34" s="75"/>
      <c r="T34" s="75"/>
      <c r="U34" s="75"/>
      <c r="V34" s="75"/>
      <c r="W34" s="75"/>
    </row>
    <row r="35" spans="1:23" ht="15">
      <c r="A35" s="75"/>
      <c r="B35" s="20"/>
      <c r="C35" s="5" t="s">
        <v>342</v>
      </c>
      <c r="D35" s="3" t="str">
        <f>VLOOKUP(C35,'Default values'!$P$9:$X$25,$D$30,FALSE)</f>
        <v>-</v>
      </c>
      <c r="E35" s="230"/>
      <c r="F35" s="59" t="str">
        <f>IF(E35="",D35,E35)</f>
        <v>-</v>
      </c>
      <c r="G35" s="234" t="s">
        <v>121</v>
      </c>
      <c r="H35" s="75"/>
      <c r="I35" s="75"/>
      <c r="J35" s="75"/>
      <c r="K35" s="75"/>
      <c r="L35" s="75"/>
      <c r="M35" s="75"/>
      <c r="N35" s="75"/>
      <c r="O35" s="75"/>
      <c r="P35" s="75"/>
      <c r="Q35" s="75"/>
      <c r="R35" s="75"/>
      <c r="S35" s="75"/>
      <c r="T35" s="75"/>
      <c r="U35" s="75"/>
      <c r="V35" s="75"/>
      <c r="W35" s="75"/>
    </row>
    <row r="36" spans="1:23" ht="15">
      <c r="A36" s="75"/>
      <c r="B36" s="20"/>
      <c r="C36" s="5" t="s">
        <v>226</v>
      </c>
      <c r="D36" s="3" t="str">
        <f>VLOOKUP(C36,'Default values'!$P$9:$X$25,$D$30,FALSE)</f>
        <v>-</v>
      </c>
      <c r="E36" s="230"/>
      <c r="F36" s="59" t="str">
        <f>IF(E36="",D36,E36)</f>
        <v>-</v>
      </c>
      <c r="G36" s="234" t="s">
        <v>121</v>
      </c>
      <c r="H36" s="75"/>
      <c r="I36" s="75"/>
      <c r="J36" s="75"/>
      <c r="K36" s="75"/>
      <c r="L36" s="75"/>
      <c r="M36" s="75"/>
      <c r="N36" s="75"/>
      <c r="O36" s="75"/>
      <c r="P36" s="75"/>
      <c r="Q36" s="75"/>
      <c r="R36" s="75"/>
      <c r="S36" s="75"/>
      <c r="T36" s="75"/>
      <c r="U36" s="75"/>
      <c r="V36" s="75"/>
      <c r="W36" s="75"/>
    </row>
    <row r="37" spans="1:23" ht="15">
      <c r="A37" s="75"/>
      <c r="B37" s="20"/>
      <c r="C37" s="5" t="s">
        <v>230</v>
      </c>
      <c r="D37" s="143" t="str">
        <f>VLOOKUP(C37,'Default values'!$P$9:$X$25,$D$30,FALSE)</f>
        <v>-</v>
      </c>
      <c r="E37" s="230"/>
      <c r="F37" s="59" t="str">
        <f>IF(E37="",D37,E37)</f>
        <v>-</v>
      </c>
      <c r="G37" s="234" t="s">
        <v>121</v>
      </c>
      <c r="H37" s="75"/>
      <c r="I37" s="75"/>
      <c r="J37" s="75"/>
      <c r="K37" s="75"/>
      <c r="L37" s="75"/>
      <c r="M37" s="75"/>
      <c r="N37" s="75"/>
      <c r="O37" s="75"/>
      <c r="P37" s="75"/>
      <c r="Q37" s="75"/>
      <c r="R37" s="75"/>
      <c r="S37" s="75"/>
      <c r="T37" s="75"/>
      <c r="U37" s="75"/>
      <c r="V37" s="75"/>
      <c r="W37" s="75"/>
    </row>
    <row r="38" spans="1:23" ht="15">
      <c r="A38" s="75"/>
      <c r="B38" s="20"/>
      <c r="C38" s="5" t="s">
        <v>200</v>
      </c>
      <c r="D38" s="135" t="str">
        <f>IF(VLOOKUP(C38,'Default values'!$P$9:$X$25,$D$30,FALSE)=1,0,VLOOKUP(C38,'Default values'!$P$9:$X$25,$D$30,FALSE))</f>
        <v>-</v>
      </c>
      <c r="E38" s="230"/>
      <c r="F38" s="59" t="str">
        <f aca="true" t="shared" si="1" ref="F38:F46">IF(E38="",D38,E38)</f>
        <v>-</v>
      </c>
      <c r="G38" s="234" t="s">
        <v>121</v>
      </c>
      <c r="H38" s="75"/>
      <c r="I38" s="75"/>
      <c r="J38" s="75"/>
      <c r="K38" s="75"/>
      <c r="L38" s="75"/>
      <c r="M38" s="75"/>
      <c r="N38" s="75"/>
      <c r="O38" s="75"/>
      <c r="P38" s="75"/>
      <c r="Q38" s="75"/>
      <c r="R38" s="75"/>
      <c r="S38" s="75"/>
      <c r="T38" s="75"/>
      <c r="U38" s="75"/>
      <c r="V38" s="75"/>
      <c r="W38" s="75"/>
    </row>
    <row r="39" spans="1:23" ht="15">
      <c r="A39" s="75"/>
      <c r="B39" s="20"/>
      <c r="C39" s="5" t="s">
        <v>201</v>
      </c>
      <c r="D39" s="135" t="str">
        <f>VLOOKUP(C39,'Default values'!$P$9:$X$25,$D$30,FALSE)</f>
        <v>-</v>
      </c>
      <c r="E39" s="230"/>
      <c r="F39" s="59" t="str">
        <f t="shared" si="1"/>
        <v>-</v>
      </c>
      <c r="G39" s="234" t="s">
        <v>121</v>
      </c>
      <c r="H39" s="75"/>
      <c r="I39" s="75"/>
      <c r="J39" s="75"/>
      <c r="K39" s="75"/>
      <c r="L39" s="75"/>
      <c r="M39" s="75"/>
      <c r="N39" s="75"/>
      <c r="O39" s="75"/>
      <c r="P39" s="75"/>
      <c r="Q39" s="75"/>
      <c r="R39" s="75"/>
      <c r="S39" s="75"/>
      <c r="T39" s="75"/>
      <c r="U39" s="75"/>
      <c r="V39" s="75"/>
      <c r="W39" s="75"/>
    </row>
    <row r="40" spans="1:23" ht="15">
      <c r="A40" s="75"/>
      <c r="B40" s="20"/>
      <c r="C40" s="11" t="s">
        <v>202</v>
      </c>
      <c r="D40" s="135" t="str">
        <f>VLOOKUP(C40,'Default values'!$P$9:$X$25,$D$30,FALSE)</f>
        <v>-</v>
      </c>
      <c r="E40" s="230"/>
      <c r="F40" s="59" t="str">
        <f t="shared" si="1"/>
        <v>-</v>
      </c>
      <c r="G40" s="234" t="s">
        <v>121</v>
      </c>
      <c r="H40" s="75"/>
      <c r="I40" s="75"/>
      <c r="J40" s="75"/>
      <c r="K40" s="75"/>
      <c r="L40" s="75"/>
      <c r="M40" s="75"/>
      <c r="N40" s="75"/>
      <c r="O40" s="75"/>
      <c r="P40" s="75"/>
      <c r="Q40" s="75"/>
      <c r="R40" s="75"/>
      <c r="S40" s="75"/>
      <c r="T40" s="75"/>
      <c r="U40" s="75"/>
      <c r="V40" s="75"/>
      <c r="W40" s="75"/>
    </row>
    <row r="41" spans="1:23" ht="15">
      <c r="A41" s="75"/>
      <c r="B41" s="20"/>
      <c r="C41" s="5" t="s">
        <v>203</v>
      </c>
      <c r="D41" s="3" t="str">
        <f>VLOOKUP(C41,'Default values'!$P$9:$X$25,$D$30,FALSE)</f>
        <v>-</v>
      </c>
      <c r="E41" s="230"/>
      <c r="F41" s="59" t="str">
        <f t="shared" si="1"/>
        <v>-</v>
      </c>
      <c r="G41" s="234" t="s">
        <v>121</v>
      </c>
      <c r="H41" s="75"/>
      <c r="I41" s="75"/>
      <c r="J41" s="75"/>
      <c r="K41" s="75"/>
      <c r="L41" s="75"/>
      <c r="M41" s="75"/>
      <c r="N41" s="75"/>
      <c r="O41" s="75"/>
      <c r="P41" s="75"/>
      <c r="Q41" s="75"/>
      <c r="R41" s="75"/>
      <c r="S41" s="75"/>
      <c r="T41" s="75"/>
      <c r="U41" s="75"/>
      <c r="V41" s="75"/>
      <c r="W41" s="75"/>
    </row>
    <row r="42" spans="1:23" ht="15">
      <c r="A42" s="75"/>
      <c r="B42" s="20"/>
      <c r="C42" s="5" t="s">
        <v>204</v>
      </c>
      <c r="D42" s="3" t="str">
        <f>VLOOKUP(C42,'Default values'!$P$9:$X$25,$D$30,FALSE)</f>
        <v>-</v>
      </c>
      <c r="E42" s="231"/>
      <c r="F42" s="59" t="str">
        <f t="shared" si="1"/>
        <v>-</v>
      </c>
      <c r="G42" s="234" t="s">
        <v>121</v>
      </c>
      <c r="H42" s="75"/>
      <c r="I42" s="75"/>
      <c r="J42" s="75"/>
      <c r="K42" s="75"/>
      <c r="L42" s="75"/>
      <c r="M42" s="75"/>
      <c r="N42" s="75"/>
      <c r="O42" s="75"/>
      <c r="P42" s="75"/>
      <c r="Q42" s="75"/>
      <c r="R42" s="75"/>
      <c r="S42" s="75"/>
      <c r="T42" s="75"/>
      <c r="U42" s="75"/>
      <c r="V42" s="75"/>
      <c r="W42" s="75"/>
    </row>
    <row r="43" spans="1:23" ht="15">
      <c r="A43" s="75"/>
      <c r="B43" s="20"/>
      <c r="C43" s="11" t="s">
        <v>338</v>
      </c>
      <c r="D43" s="2" t="str">
        <f>VLOOKUP(C43,'Default values'!$P$9:$X$25,$D$30,FALSE)</f>
        <v>-</v>
      </c>
      <c r="E43" s="231"/>
      <c r="F43" s="59" t="str">
        <f t="shared" si="1"/>
        <v>-</v>
      </c>
      <c r="G43" s="234" t="s">
        <v>121</v>
      </c>
      <c r="H43" s="75"/>
      <c r="I43" s="75"/>
      <c r="J43" s="75"/>
      <c r="K43" s="75"/>
      <c r="L43" s="75"/>
      <c r="M43" s="75"/>
      <c r="N43" s="75"/>
      <c r="O43" s="75"/>
      <c r="P43" s="75"/>
      <c r="Q43" s="75"/>
      <c r="R43" s="75"/>
      <c r="S43" s="75"/>
      <c r="T43" s="75"/>
      <c r="U43" s="75"/>
      <c r="V43" s="75"/>
      <c r="W43" s="75"/>
    </row>
    <row r="44" spans="1:23" ht="17.25">
      <c r="A44" s="75"/>
      <c r="B44" s="20"/>
      <c r="C44" s="11" t="s">
        <v>220</v>
      </c>
      <c r="D44" s="3" t="str">
        <f>VLOOKUP(C44,'Default values'!$P$9:$X$25,$D$30,FALSE)</f>
        <v>-</v>
      </c>
      <c r="E44" s="230"/>
      <c r="F44" s="59" t="str">
        <f t="shared" si="1"/>
        <v>-</v>
      </c>
      <c r="G44" s="234" t="s">
        <v>121</v>
      </c>
      <c r="H44" s="75"/>
      <c r="I44" s="75"/>
      <c r="J44" s="75"/>
      <c r="K44" s="75"/>
      <c r="L44" s="75"/>
      <c r="M44" s="75"/>
      <c r="N44" s="75"/>
      <c r="O44" s="75"/>
      <c r="P44" s="75"/>
      <c r="Q44" s="75"/>
      <c r="R44" s="75"/>
      <c r="S44" s="75"/>
      <c r="T44" s="75"/>
      <c r="U44" s="75"/>
      <c r="V44" s="75"/>
      <c r="W44" s="75"/>
    </row>
    <row r="45" spans="1:23" ht="15">
      <c r="A45" s="75"/>
      <c r="B45" s="20"/>
      <c r="C45" s="11" t="s">
        <v>219</v>
      </c>
      <c r="D45" s="2" t="str">
        <f>VLOOKUP(C45,'Default values'!$P$9:$X$25,$D$30,FALSE)</f>
        <v>-</v>
      </c>
      <c r="E45" s="231"/>
      <c r="F45" s="59" t="str">
        <f t="shared" si="1"/>
        <v>-</v>
      </c>
      <c r="G45" s="234" t="s">
        <v>121</v>
      </c>
      <c r="H45" s="75"/>
      <c r="I45" s="75"/>
      <c r="J45" s="75"/>
      <c r="K45" s="75"/>
      <c r="L45" s="75"/>
      <c r="M45" s="75"/>
      <c r="N45" s="75"/>
      <c r="O45" s="75"/>
      <c r="P45" s="75"/>
      <c r="Q45" s="75"/>
      <c r="R45" s="75"/>
      <c r="S45" s="75"/>
      <c r="T45" s="75"/>
      <c r="U45" s="75"/>
      <c r="V45" s="75"/>
      <c r="W45" s="75"/>
    </row>
    <row r="46" spans="1:23" ht="15.75" thickBot="1">
      <c r="A46" s="75"/>
      <c r="B46" s="20"/>
      <c r="C46" s="12" t="s">
        <v>287</v>
      </c>
      <c r="D46" s="10" t="str">
        <f>VLOOKUP(C46,'Default values'!$P$9:$X$25,$D$30,FALSE)</f>
        <v>-</v>
      </c>
      <c r="E46" s="229"/>
      <c r="F46" s="59" t="str">
        <f t="shared" si="1"/>
        <v>-</v>
      </c>
      <c r="G46" s="234" t="s">
        <v>121</v>
      </c>
      <c r="H46" s="75"/>
      <c r="I46" s="75"/>
      <c r="J46" s="75"/>
      <c r="K46" s="75"/>
      <c r="L46" s="75"/>
      <c r="M46" s="75"/>
      <c r="N46" s="75"/>
      <c r="O46" s="75"/>
      <c r="P46" s="75"/>
      <c r="Q46" s="75"/>
      <c r="R46" s="75"/>
      <c r="S46" s="75"/>
      <c r="T46" s="75"/>
      <c r="U46" s="75"/>
      <c r="V46" s="75"/>
      <c r="W46" s="75"/>
    </row>
    <row r="47" spans="1:23" ht="15.75" thickBot="1">
      <c r="A47" s="75"/>
      <c r="B47" s="20"/>
      <c r="C47" s="75"/>
      <c r="D47" s="75"/>
      <c r="E47" s="75"/>
      <c r="F47" s="80"/>
      <c r="G47" s="75"/>
      <c r="H47" s="75"/>
      <c r="I47" s="75"/>
      <c r="J47" s="75"/>
      <c r="K47" s="75"/>
      <c r="L47" s="75"/>
      <c r="M47" s="75"/>
      <c r="N47" s="75"/>
      <c r="O47" s="75"/>
      <c r="P47" s="75"/>
      <c r="Q47" s="75"/>
      <c r="R47" s="75"/>
      <c r="S47" s="75"/>
      <c r="T47" s="75"/>
      <c r="U47" s="75"/>
      <c r="V47" s="75"/>
      <c r="W47" s="75"/>
    </row>
    <row r="48" spans="1:23" ht="15">
      <c r="A48" s="75"/>
      <c r="B48" s="20"/>
      <c r="C48" s="16" t="s">
        <v>363</v>
      </c>
      <c r="D48" s="80" t="s">
        <v>12</v>
      </c>
      <c r="E48" s="75"/>
      <c r="F48" s="80"/>
      <c r="G48" s="75"/>
      <c r="H48" s="75"/>
      <c r="I48" s="75"/>
      <c r="J48" s="75"/>
      <c r="K48" s="75"/>
      <c r="L48" s="75"/>
      <c r="M48" s="75"/>
      <c r="N48" s="75"/>
      <c r="O48" s="75"/>
      <c r="P48" s="75"/>
      <c r="Q48" s="75"/>
      <c r="R48" s="75"/>
      <c r="S48" s="75"/>
      <c r="T48" s="75"/>
      <c r="U48" s="75"/>
      <c r="V48" s="75"/>
      <c r="W48" s="75"/>
    </row>
    <row r="49" spans="1:23" ht="15.75" thickBot="1">
      <c r="A49" s="75"/>
      <c r="B49" s="20"/>
      <c r="C49" s="232" t="s">
        <v>5</v>
      </c>
      <c r="D49" s="80">
        <f>VLOOKUP(C49,Q18:R23,2,FALSE)</f>
        <v>6</v>
      </c>
      <c r="E49" s="75"/>
      <c r="F49" s="80"/>
      <c r="G49" s="234" t="s">
        <v>121</v>
      </c>
      <c r="H49" s="75"/>
      <c r="I49" s="75"/>
      <c r="J49" s="75"/>
      <c r="K49" s="75"/>
      <c r="L49" s="75"/>
      <c r="M49" s="75"/>
      <c r="N49" s="75"/>
      <c r="O49" s="75"/>
      <c r="P49" s="75"/>
      <c r="Q49" s="75"/>
      <c r="R49" s="75"/>
      <c r="S49" s="75"/>
      <c r="T49" s="75"/>
      <c r="U49" s="75"/>
      <c r="V49" s="75"/>
      <c r="W49" s="75"/>
    </row>
    <row r="50" spans="1:23" ht="15.75" thickBot="1">
      <c r="A50" s="75"/>
      <c r="B50" s="20"/>
      <c r="C50" s="75"/>
      <c r="D50" s="75"/>
      <c r="E50" s="75"/>
      <c r="F50" s="80"/>
      <c r="G50" s="75"/>
      <c r="H50" s="75"/>
      <c r="I50" s="75"/>
      <c r="J50" s="75"/>
      <c r="K50" s="75"/>
      <c r="L50" s="75"/>
      <c r="M50" s="75"/>
      <c r="N50" s="75"/>
      <c r="O50" s="75"/>
      <c r="P50" s="75"/>
      <c r="Q50" s="75"/>
      <c r="R50" s="75"/>
      <c r="S50" s="75"/>
      <c r="T50" s="75"/>
      <c r="U50" s="75"/>
      <c r="V50" s="75"/>
      <c r="W50" s="75"/>
    </row>
    <row r="51" spans="1:23" ht="15">
      <c r="A51" s="75"/>
      <c r="B51" s="20"/>
      <c r="C51" s="7" t="s">
        <v>33</v>
      </c>
      <c r="D51" s="8" t="s">
        <v>10</v>
      </c>
      <c r="E51" s="9" t="s">
        <v>11</v>
      </c>
      <c r="F51" s="80"/>
      <c r="G51" s="75"/>
      <c r="H51" s="75"/>
      <c r="I51" s="75"/>
      <c r="J51" s="75"/>
      <c r="K51" s="75"/>
      <c r="L51" s="75"/>
      <c r="M51" s="75"/>
      <c r="N51" s="75"/>
      <c r="O51" s="75"/>
      <c r="P51" s="75"/>
      <c r="Q51" s="75"/>
      <c r="R51" s="75"/>
      <c r="S51" s="75"/>
      <c r="T51" s="75"/>
      <c r="U51" s="75"/>
      <c r="V51" s="75"/>
      <c r="W51" s="75"/>
    </row>
    <row r="52" spans="1:23" ht="15">
      <c r="A52" s="75"/>
      <c r="B52" s="20"/>
      <c r="C52" s="5" t="s">
        <v>239</v>
      </c>
      <c r="D52" s="3" t="str">
        <f>VLOOKUP(C52,'Default values'!$P$9:$X$25,$D$30,FALSE)</f>
        <v>-</v>
      </c>
      <c r="E52" s="230"/>
      <c r="F52" s="59" t="str">
        <f>IF(E52="",D52,E52)</f>
        <v>-</v>
      </c>
      <c r="G52" s="234" t="s">
        <v>121</v>
      </c>
      <c r="H52" s="75"/>
      <c r="I52" s="75"/>
      <c r="J52" s="75"/>
      <c r="K52" s="75"/>
      <c r="L52" s="75"/>
      <c r="M52" s="75"/>
      <c r="N52" s="75"/>
      <c r="O52" s="75"/>
      <c r="P52" s="75"/>
      <c r="Q52" s="75"/>
      <c r="R52" s="75"/>
      <c r="S52" s="75"/>
      <c r="T52" s="75"/>
      <c r="U52" s="75"/>
      <c r="V52" s="75"/>
      <c r="W52" s="75"/>
    </row>
    <row r="53" spans="1:23" ht="15.75" thickBot="1">
      <c r="A53" s="75"/>
      <c r="B53" s="20"/>
      <c r="C53" s="6" t="s">
        <v>243</v>
      </c>
      <c r="D53" s="10" t="str">
        <f>VLOOKUP(C53,'Default values'!$P$9:$X$25,$D$30,FALSE)</f>
        <v>-</v>
      </c>
      <c r="E53" s="229"/>
      <c r="F53" s="59" t="str">
        <f>IF(E53="",D53,E53)</f>
        <v>-</v>
      </c>
      <c r="G53" s="234" t="s">
        <v>121</v>
      </c>
      <c r="H53" s="75"/>
      <c r="I53" s="75"/>
      <c r="J53" s="75"/>
      <c r="K53" s="75"/>
      <c r="L53" s="75"/>
      <c r="M53" s="75"/>
      <c r="N53" s="75"/>
      <c r="O53" s="75"/>
      <c r="P53" s="75"/>
      <c r="Q53" s="75"/>
      <c r="R53" s="75"/>
      <c r="S53" s="75"/>
      <c r="T53" s="75"/>
      <c r="U53" s="75"/>
      <c r="V53" s="75"/>
      <c r="W53" s="75"/>
    </row>
    <row r="54" spans="1:23" ht="15.75" thickBot="1">
      <c r="A54" s="75"/>
      <c r="B54" s="20"/>
      <c r="C54" s="75"/>
      <c r="D54" s="75"/>
      <c r="E54" s="75"/>
      <c r="F54" s="75"/>
      <c r="G54" s="75"/>
      <c r="H54" s="75"/>
      <c r="I54" s="75"/>
      <c r="J54" s="75"/>
      <c r="K54" s="75"/>
      <c r="L54" s="75"/>
      <c r="M54" s="75"/>
      <c r="N54" s="75"/>
      <c r="O54" s="75"/>
      <c r="P54" s="75"/>
      <c r="Q54" s="75"/>
      <c r="R54" s="75"/>
      <c r="S54" s="75"/>
      <c r="T54" s="75"/>
      <c r="U54" s="75"/>
      <c r="V54" s="75"/>
      <c r="W54" s="75"/>
    </row>
    <row r="55" spans="1:23" ht="15">
      <c r="A55" s="75"/>
      <c r="B55" s="20"/>
      <c r="C55" s="7" t="s">
        <v>304</v>
      </c>
      <c r="D55" s="8" t="s">
        <v>10</v>
      </c>
      <c r="E55" s="9" t="s">
        <v>11</v>
      </c>
      <c r="F55" s="80"/>
      <c r="G55" s="75"/>
      <c r="H55" s="75"/>
      <c r="I55" s="75"/>
      <c r="J55" s="75"/>
      <c r="K55" s="75"/>
      <c r="L55" s="75"/>
      <c r="M55" s="75"/>
      <c r="N55" s="75"/>
      <c r="O55" s="75"/>
      <c r="P55" s="75"/>
      <c r="Q55" s="75"/>
      <c r="R55" s="75"/>
      <c r="S55" s="75"/>
      <c r="T55" s="75"/>
      <c r="U55" s="75"/>
      <c r="V55" s="75"/>
      <c r="W55" s="75"/>
    </row>
    <row r="56" spans="1:23" ht="15">
      <c r="A56" s="75"/>
      <c r="B56" s="20"/>
      <c r="C56" s="128" t="s">
        <v>277</v>
      </c>
      <c r="D56" s="62" t="str">
        <f>VLOOKUP(C56,'Default values'!$P$29:$U$38,$D$49,FALSE)</f>
        <v>-</v>
      </c>
      <c r="E56" s="230"/>
      <c r="F56" s="59" t="str">
        <f aca="true" t="shared" si="2" ref="F56:F65">IF(E56="",D56,E56)</f>
        <v>-</v>
      </c>
      <c r="G56" s="234" t="s">
        <v>121</v>
      </c>
      <c r="H56" s="75"/>
      <c r="I56" s="75"/>
      <c r="J56" s="75"/>
      <c r="K56" s="75"/>
      <c r="L56" s="75"/>
      <c r="M56" s="75"/>
      <c r="N56" s="75"/>
      <c r="O56" s="75"/>
      <c r="P56" s="75"/>
      <c r="Q56" s="75"/>
      <c r="R56" s="75"/>
      <c r="S56" s="75"/>
      <c r="T56" s="75"/>
      <c r="U56" s="75"/>
      <c r="V56" s="75"/>
      <c r="W56" s="75"/>
    </row>
    <row r="57" spans="1:23" ht="15">
      <c r="A57" s="75"/>
      <c r="B57" s="20"/>
      <c r="C57" s="5" t="s">
        <v>278</v>
      </c>
      <c r="D57" s="135" t="str">
        <f>VLOOKUP(C57,'Default values'!$P$29:$U$38,$D$49,FALSE)</f>
        <v>-</v>
      </c>
      <c r="E57" s="230"/>
      <c r="F57" s="59" t="str">
        <f t="shared" si="2"/>
        <v>-</v>
      </c>
      <c r="G57" s="234" t="s">
        <v>121</v>
      </c>
      <c r="H57" s="75"/>
      <c r="I57" s="75"/>
      <c r="J57" s="75"/>
      <c r="K57" s="75"/>
      <c r="L57" s="75"/>
      <c r="M57" s="75"/>
      <c r="N57" s="75"/>
      <c r="O57" s="75"/>
      <c r="P57" s="75"/>
      <c r="Q57" s="75"/>
      <c r="R57" s="75"/>
      <c r="S57" s="75"/>
      <c r="T57" s="75"/>
      <c r="U57" s="75"/>
      <c r="V57" s="75"/>
      <c r="W57" s="75"/>
    </row>
    <row r="58" spans="1:23" ht="15">
      <c r="A58" s="75"/>
      <c r="B58" s="20"/>
      <c r="C58" s="5" t="s">
        <v>279</v>
      </c>
      <c r="D58" s="135" t="str">
        <f>VLOOKUP(C58,'Default values'!$P$29:$U$38,$D$49,FALSE)</f>
        <v>-</v>
      </c>
      <c r="E58" s="230"/>
      <c r="F58" s="59" t="str">
        <f t="shared" si="2"/>
        <v>-</v>
      </c>
      <c r="G58" s="234" t="s">
        <v>121</v>
      </c>
      <c r="H58" s="75"/>
      <c r="I58" s="75"/>
      <c r="J58" s="75"/>
      <c r="K58" s="75"/>
      <c r="L58" s="75"/>
      <c r="M58" s="75"/>
      <c r="N58" s="75"/>
      <c r="O58" s="75"/>
      <c r="P58" s="75"/>
      <c r="Q58" s="75"/>
      <c r="R58" s="75"/>
      <c r="S58" s="75"/>
      <c r="T58" s="75"/>
      <c r="U58" s="75"/>
      <c r="V58" s="75"/>
      <c r="W58" s="75"/>
    </row>
    <row r="59" spans="1:23" ht="15">
      <c r="A59" s="75"/>
      <c r="B59" s="20"/>
      <c r="C59" s="5" t="s">
        <v>280</v>
      </c>
      <c r="D59" s="3" t="str">
        <f>VLOOKUP(C59,'Default values'!$P$29:$U$38,$D$49,FALSE)</f>
        <v>-</v>
      </c>
      <c r="E59" s="230"/>
      <c r="F59" s="59" t="str">
        <f t="shared" si="2"/>
        <v>-</v>
      </c>
      <c r="G59" s="234" t="s">
        <v>121</v>
      </c>
      <c r="H59" s="75"/>
      <c r="I59" s="75"/>
      <c r="J59" s="75"/>
      <c r="K59" s="75"/>
      <c r="L59" s="75"/>
      <c r="M59" s="75"/>
      <c r="N59" s="75"/>
      <c r="O59" s="75"/>
      <c r="P59" s="75"/>
      <c r="Q59" s="75"/>
      <c r="R59" s="75"/>
      <c r="S59" s="75"/>
      <c r="T59" s="75"/>
      <c r="U59" s="75"/>
      <c r="V59" s="75"/>
      <c r="W59" s="75"/>
    </row>
    <row r="60" spans="1:23" ht="15">
      <c r="A60" s="75"/>
      <c r="B60" s="20"/>
      <c r="C60" s="5" t="s">
        <v>281</v>
      </c>
      <c r="D60" s="3" t="str">
        <f>VLOOKUP(C60,'Default values'!$P$29:$U$38,$D$49,FALSE)</f>
        <v>-</v>
      </c>
      <c r="E60" s="230"/>
      <c r="F60" s="59" t="str">
        <f t="shared" si="2"/>
        <v>-</v>
      </c>
      <c r="G60" s="234" t="s">
        <v>121</v>
      </c>
      <c r="H60" s="75"/>
      <c r="I60" s="75"/>
      <c r="J60" s="75"/>
      <c r="K60" s="75"/>
      <c r="L60" s="75"/>
      <c r="M60" s="75"/>
      <c r="N60" s="75"/>
      <c r="O60" s="75"/>
      <c r="P60" s="75"/>
      <c r="Q60" s="75"/>
      <c r="R60" s="75"/>
      <c r="S60" s="75"/>
      <c r="T60" s="75"/>
      <c r="U60" s="75"/>
      <c r="V60" s="75"/>
      <c r="W60" s="75"/>
    </row>
    <row r="61" spans="1:23" ht="15">
      <c r="A61" s="75"/>
      <c r="B61" s="160"/>
      <c r="C61" s="11" t="s">
        <v>282</v>
      </c>
      <c r="D61" s="166" t="str">
        <f>VLOOKUP(C61,'Default values'!$P$29:$U$38,$D$49,FALSE)</f>
        <v>-</v>
      </c>
      <c r="E61" s="230"/>
      <c r="F61" s="59" t="str">
        <f t="shared" si="2"/>
        <v>-</v>
      </c>
      <c r="G61" s="234" t="s">
        <v>121</v>
      </c>
      <c r="H61" s="75"/>
      <c r="I61" s="75"/>
      <c r="J61" s="75"/>
      <c r="K61" s="75"/>
      <c r="L61" s="75"/>
      <c r="M61" s="75"/>
      <c r="N61" s="75"/>
      <c r="O61" s="75"/>
      <c r="P61" s="75"/>
      <c r="Q61" s="75"/>
      <c r="R61" s="75"/>
      <c r="S61" s="75"/>
      <c r="T61" s="75"/>
      <c r="U61" s="75"/>
      <c r="V61" s="75"/>
      <c r="W61" s="75"/>
    </row>
    <row r="62" spans="1:23" ht="15">
      <c r="A62" s="75"/>
      <c r="B62" s="20"/>
      <c r="C62" s="5" t="s">
        <v>283</v>
      </c>
      <c r="D62" s="3" t="str">
        <f>VLOOKUP(C62,'Default values'!$P$29:$U$38,$D$49,FALSE)</f>
        <v>-</v>
      </c>
      <c r="E62" s="230"/>
      <c r="F62" s="59" t="str">
        <f t="shared" si="2"/>
        <v>-</v>
      </c>
      <c r="G62" s="234" t="s">
        <v>121</v>
      </c>
      <c r="H62" s="75"/>
      <c r="I62" s="75"/>
      <c r="J62" s="75"/>
      <c r="K62" s="75"/>
      <c r="L62" s="75"/>
      <c r="M62" s="75"/>
      <c r="N62" s="75"/>
      <c r="O62" s="75"/>
      <c r="P62" s="75"/>
      <c r="Q62" s="75"/>
      <c r="R62" s="75"/>
      <c r="S62" s="75"/>
      <c r="T62" s="75"/>
      <c r="U62" s="75"/>
      <c r="V62" s="75"/>
      <c r="W62" s="75"/>
    </row>
    <row r="63" spans="1:23" ht="15">
      <c r="A63" s="75"/>
      <c r="B63" s="20"/>
      <c r="C63" s="5" t="s">
        <v>296</v>
      </c>
      <c r="D63" s="3" t="str">
        <f>VLOOKUP(C63,'Default values'!$P$29:$U$38,$D$49,FALSE)</f>
        <v>-</v>
      </c>
      <c r="E63" s="230"/>
      <c r="F63" s="59" t="str">
        <f t="shared" si="2"/>
        <v>-</v>
      </c>
      <c r="G63" s="234" t="s">
        <v>121</v>
      </c>
      <c r="H63" s="75"/>
      <c r="I63" s="75"/>
      <c r="J63" s="75"/>
      <c r="K63" s="75"/>
      <c r="L63" s="75"/>
      <c r="M63" s="75"/>
      <c r="N63" s="75"/>
      <c r="O63" s="75"/>
      <c r="P63" s="75"/>
      <c r="Q63" s="75"/>
      <c r="R63" s="75"/>
      <c r="S63" s="75"/>
      <c r="T63" s="75"/>
      <c r="U63" s="75"/>
      <c r="V63" s="75"/>
      <c r="W63" s="75"/>
    </row>
    <row r="64" spans="1:23" ht="15">
      <c r="A64" s="75"/>
      <c r="B64" s="20"/>
      <c r="C64" s="5" t="s">
        <v>227</v>
      </c>
      <c r="D64" s="2" t="str">
        <f>VLOOKUP(C64,'Default values'!$P$29:$U$38,$D$49,FALSE)</f>
        <v>-</v>
      </c>
      <c r="E64" s="231"/>
      <c r="F64" s="59" t="str">
        <f t="shared" si="2"/>
        <v>-</v>
      </c>
      <c r="G64" s="234" t="s">
        <v>121</v>
      </c>
      <c r="H64" s="75"/>
      <c r="I64" s="75"/>
      <c r="J64" s="75"/>
      <c r="K64" s="75"/>
      <c r="L64" s="75"/>
      <c r="M64" s="75"/>
      <c r="N64" s="75"/>
      <c r="O64" s="75"/>
      <c r="P64" s="75"/>
      <c r="Q64" s="75"/>
      <c r="R64" s="75"/>
      <c r="S64" s="75"/>
      <c r="T64" s="75"/>
      <c r="U64" s="75"/>
      <c r="V64" s="75"/>
      <c r="W64" s="75"/>
    </row>
    <row r="65" spans="1:23" ht="15.75" thickBot="1">
      <c r="A65" s="75"/>
      <c r="B65" s="20"/>
      <c r="C65" s="12" t="s">
        <v>91</v>
      </c>
      <c r="D65" s="10" t="str">
        <f>VLOOKUP(C65,'Default values'!$P$29:$U$38,$D$49,FALSE)</f>
        <v>-</v>
      </c>
      <c r="E65" s="229"/>
      <c r="F65" s="59" t="str">
        <f t="shared" si="2"/>
        <v>-</v>
      </c>
      <c r="G65" s="234" t="s">
        <v>121</v>
      </c>
      <c r="H65" s="75"/>
      <c r="I65" s="75"/>
      <c r="J65" s="75"/>
      <c r="K65" s="75"/>
      <c r="L65" s="75"/>
      <c r="M65" s="75"/>
      <c r="N65" s="75"/>
      <c r="O65" s="75"/>
      <c r="P65" s="75"/>
      <c r="Q65" s="75"/>
      <c r="R65" s="75"/>
      <c r="S65" s="75"/>
      <c r="T65" s="75"/>
      <c r="U65" s="75"/>
      <c r="V65" s="75"/>
      <c r="W65" s="75"/>
    </row>
    <row r="66" spans="1:23" ht="15.75" thickBot="1">
      <c r="A66" s="75"/>
      <c r="B66" s="20"/>
      <c r="C66" s="75"/>
      <c r="D66" s="75"/>
      <c r="E66" s="75"/>
      <c r="F66" s="80"/>
      <c r="G66" s="75"/>
      <c r="H66" s="75"/>
      <c r="I66" s="75"/>
      <c r="J66" s="75"/>
      <c r="K66" s="75"/>
      <c r="L66" s="75"/>
      <c r="M66" s="75"/>
      <c r="N66" s="75"/>
      <c r="O66" s="75"/>
      <c r="P66" s="81"/>
      <c r="Q66" s="75"/>
      <c r="R66" s="75"/>
      <c r="S66" s="75"/>
      <c r="T66" s="75"/>
      <c r="U66" s="75"/>
      <c r="V66" s="75"/>
      <c r="W66" s="75"/>
    </row>
    <row r="67" spans="1:23" ht="15">
      <c r="A67" s="75"/>
      <c r="B67" s="20"/>
      <c r="C67" s="7" t="s">
        <v>176</v>
      </c>
      <c r="D67" s="8" t="s">
        <v>10</v>
      </c>
      <c r="E67" s="9" t="s">
        <v>11</v>
      </c>
      <c r="F67" s="80"/>
      <c r="G67" s="75"/>
      <c r="H67" s="75"/>
      <c r="I67" s="75"/>
      <c r="J67" s="75"/>
      <c r="K67" s="75"/>
      <c r="L67" s="75"/>
      <c r="M67" s="75"/>
      <c r="N67" s="75"/>
      <c r="O67" s="75"/>
      <c r="P67" s="81"/>
      <c r="Q67" s="75"/>
      <c r="R67" s="75"/>
      <c r="S67" s="75"/>
      <c r="T67" s="75"/>
      <c r="U67" s="75"/>
      <c r="V67" s="75"/>
      <c r="W67" s="75"/>
    </row>
    <row r="68" spans="1:23" ht="15">
      <c r="A68" s="75"/>
      <c r="B68" s="20"/>
      <c r="C68" s="5" t="s">
        <v>228</v>
      </c>
      <c r="D68" s="151" t="str">
        <f>VLOOKUP(C68,'Default values'!$P$42:$U$44,$D$49,FALSE)</f>
        <v>-</v>
      </c>
      <c r="E68" s="231"/>
      <c r="F68" s="59" t="str">
        <f>IF(E68="",D68,E68)</f>
        <v>-</v>
      </c>
      <c r="G68" s="234" t="s">
        <v>121</v>
      </c>
      <c r="H68" s="75"/>
      <c r="I68" s="75"/>
      <c r="J68" s="75"/>
      <c r="K68" s="75"/>
      <c r="L68" s="75"/>
      <c r="M68" s="75"/>
      <c r="N68" s="75"/>
      <c r="O68" s="75"/>
      <c r="P68" s="81"/>
      <c r="Q68" s="75"/>
      <c r="R68" s="75"/>
      <c r="S68" s="75"/>
      <c r="T68" s="75"/>
      <c r="U68" s="75"/>
      <c r="V68" s="75"/>
      <c r="W68" s="75"/>
    </row>
    <row r="69" spans="1:23" ht="15">
      <c r="A69" s="75"/>
      <c r="B69" s="20"/>
      <c r="C69" s="5" t="s">
        <v>175</v>
      </c>
      <c r="D69" s="2" t="str">
        <f>VLOOKUP(C69,'Default values'!$P$42:$U$44,$D$49,FALSE)</f>
        <v>-</v>
      </c>
      <c r="E69" s="231"/>
      <c r="F69" s="59" t="str">
        <f>IF(E69="",D69,E69)</f>
        <v>-</v>
      </c>
      <c r="G69" s="234" t="s">
        <v>121</v>
      </c>
      <c r="H69" s="75"/>
      <c r="I69" s="75"/>
      <c r="J69" s="75"/>
      <c r="K69" s="75"/>
      <c r="L69" s="75"/>
      <c r="M69" s="75"/>
      <c r="N69" s="75"/>
      <c r="O69" s="75"/>
      <c r="P69" s="75"/>
      <c r="Q69" s="75"/>
      <c r="R69" s="75"/>
      <c r="S69" s="75"/>
      <c r="T69" s="75"/>
      <c r="U69" s="75"/>
      <c r="V69" s="75"/>
      <c r="W69" s="75"/>
    </row>
    <row r="70" spans="1:23" ht="15.75" thickBot="1">
      <c r="A70" s="75"/>
      <c r="B70" s="20"/>
      <c r="C70" s="6" t="s">
        <v>237</v>
      </c>
      <c r="D70" s="10" t="str">
        <f>VLOOKUP(C70,'Default values'!$P$42:$U$44,$D$49,FALSE)</f>
        <v>-</v>
      </c>
      <c r="E70" s="229"/>
      <c r="F70" s="59" t="str">
        <f>IF(E70="",D70,E70)</f>
        <v>-</v>
      </c>
      <c r="G70" s="234" t="s">
        <v>121</v>
      </c>
      <c r="H70" s="75"/>
      <c r="I70" s="75"/>
      <c r="J70" s="75"/>
      <c r="K70" s="75"/>
      <c r="L70" s="75"/>
      <c r="M70" s="75"/>
      <c r="N70" s="75"/>
      <c r="O70" s="75"/>
      <c r="P70" s="75"/>
      <c r="Q70" s="75"/>
      <c r="R70" s="75"/>
      <c r="S70" s="75"/>
      <c r="T70" s="75"/>
      <c r="U70" s="75"/>
      <c r="V70" s="75"/>
      <c r="W70" s="75"/>
    </row>
    <row r="71" spans="1:23" ht="15.75" thickBot="1">
      <c r="A71" s="75"/>
      <c r="B71" s="20"/>
      <c r="C71" s="75"/>
      <c r="D71" s="75"/>
      <c r="E71" s="75"/>
      <c r="F71" s="80"/>
      <c r="G71" s="75"/>
      <c r="H71" s="75"/>
      <c r="I71" s="75"/>
      <c r="J71" s="75"/>
      <c r="K71" s="75"/>
      <c r="L71" s="75"/>
      <c r="M71" s="75"/>
      <c r="N71" s="75"/>
      <c r="O71" s="75"/>
      <c r="P71" s="75"/>
      <c r="Q71" s="75"/>
      <c r="R71" s="75"/>
      <c r="S71" s="75"/>
      <c r="T71" s="75"/>
      <c r="U71" s="75"/>
      <c r="V71" s="75"/>
      <c r="W71" s="75"/>
    </row>
    <row r="72" spans="1:23" ht="15">
      <c r="A72" s="75"/>
      <c r="B72" s="20"/>
      <c r="C72" s="7" t="s">
        <v>115</v>
      </c>
      <c r="D72" s="8" t="s">
        <v>10</v>
      </c>
      <c r="E72" s="9" t="s">
        <v>11</v>
      </c>
      <c r="F72" s="59"/>
      <c r="G72" s="234" t="s">
        <v>121</v>
      </c>
      <c r="H72" s="75"/>
      <c r="I72" s="75"/>
      <c r="J72" s="75"/>
      <c r="K72" s="75"/>
      <c r="L72" s="75"/>
      <c r="M72" s="75"/>
      <c r="N72" s="75"/>
      <c r="O72" s="75"/>
      <c r="P72" s="75"/>
      <c r="Q72" s="75"/>
      <c r="R72" s="75"/>
      <c r="S72" s="75"/>
      <c r="T72" s="75"/>
      <c r="U72" s="75"/>
      <c r="V72" s="75"/>
      <c r="W72" s="75"/>
    </row>
    <row r="73" spans="1:23" ht="15">
      <c r="A73" s="75"/>
      <c r="B73" s="20"/>
      <c r="C73" s="5" t="s">
        <v>222</v>
      </c>
      <c r="D73" s="3" t="str">
        <f>VLOOKUP(C73,'Default values'!$P$47:$R$52,IF($D$49=5,2,3),FALSE)</f>
        <v>N/A</v>
      </c>
      <c r="E73" s="230"/>
      <c r="F73" s="59" t="str">
        <f aca="true" t="shared" si="3" ref="F73:F78">IF(E73="",D73,E73)</f>
        <v>N/A</v>
      </c>
      <c r="G73" s="234" t="s">
        <v>121</v>
      </c>
      <c r="H73" s="75"/>
      <c r="I73" s="75"/>
      <c r="J73" s="75"/>
      <c r="K73" s="75"/>
      <c r="L73" s="75"/>
      <c r="M73" s="75"/>
      <c r="N73" s="75"/>
      <c r="O73" s="75"/>
      <c r="P73" s="75"/>
      <c r="Q73" s="75"/>
      <c r="R73" s="75"/>
      <c r="S73" s="75"/>
      <c r="T73" s="75"/>
      <c r="U73" s="75"/>
      <c r="V73" s="75"/>
      <c r="W73" s="75"/>
    </row>
    <row r="74" spans="1:23" ht="15">
      <c r="A74" s="75"/>
      <c r="B74" s="20"/>
      <c r="C74" s="5" t="s">
        <v>223</v>
      </c>
      <c r="D74" s="3" t="str">
        <f>VLOOKUP(C74,'Default values'!$P$47:$R$52,IF($D$49=5,2,3),FALSE)</f>
        <v>N/A</v>
      </c>
      <c r="E74" s="230"/>
      <c r="F74" s="59" t="str">
        <f t="shared" si="3"/>
        <v>N/A</v>
      </c>
      <c r="G74" s="234" t="s">
        <v>121</v>
      </c>
      <c r="H74" s="75"/>
      <c r="I74" s="75"/>
      <c r="J74" s="75"/>
      <c r="K74" s="75"/>
      <c r="L74" s="75"/>
      <c r="M74" s="75"/>
      <c r="N74" s="75"/>
      <c r="O74" s="75"/>
      <c r="P74" s="75"/>
      <c r="Q74" s="75"/>
      <c r="R74" s="75"/>
      <c r="S74" s="75"/>
      <c r="T74" s="75"/>
      <c r="U74" s="75"/>
      <c r="V74" s="75"/>
      <c r="W74" s="75"/>
    </row>
    <row r="75" spans="1:23" ht="15">
      <c r="A75" s="75"/>
      <c r="B75" s="20"/>
      <c r="C75" s="5" t="s">
        <v>116</v>
      </c>
      <c r="D75" s="3" t="str">
        <f>VLOOKUP(C75,'Default values'!$P$47:$R$52,IF($D$49=5,2,3),FALSE)</f>
        <v>N/A</v>
      </c>
      <c r="E75" s="230"/>
      <c r="F75" s="59" t="str">
        <f t="shared" si="3"/>
        <v>N/A</v>
      </c>
      <c r="G75" s="234" t="s">
        <v>121</v>
      </c>
      <c r="H75" s="75"/>
      <c r="I75" s="75"/>
      <c r="J75" s="75"/>
      <c r="K75" s="75"/>
      <c r="L75" s="75"/>
      <c r="M75" s="75"/>
      <c r="N75" s="75"/>
      <c r="O75" s="75"/>
      <c r="P75" s="75"/>
      <c r="Q75" s="75"/>
      <c r="R75" s="75"/>
      <c r="S75" s="75"/>
      <c r="T75" s="75"/>
      <c r="U75" s="75"/>
      <c r="V75" s="75"/>
      <c r="W75" s="75"/>
    </row>
    <row r="76" spans="1:23" ht="15">
      <c r="A76" s="75"/>
      <c r="B76" s="20"/>
      <c r="C76" s="5" t="s">
        <v>229</v>
      </c>
      <c r="D76" s="3" t="str">
        <f>VLOOKUP(C76,'Default values'!$P$47:$R$52,IF($D$49=5,2,3),FALSE)</f>
        <v>N/A</v>
      </c>
      <c r="E76" s="230"/>
      <c r="F76" s="59" t="str">
        <f t="shared" si="3"/>
        <v>N/A</v>
      </c>
      <c r="G76" s="234" t="s">
        <v>121</v>
      </c>
      <c r="H76" s="75"/>
      <c r="I76" s="75"/>
      <c r="J76" s="75"/>
      <c r="K76" s="75"/>
      <c r="L76" s="75"/>
      <c r="M76" s="75"/>
      <c r="N76" s="75"/>
      <c r="O76" s="75"/>
      <c r="P76" s="75"/>
      <c r="Q76" s="75"/>
      <c r="R76" s="75"/>
      <c r="S76" s="75"/>
      <c r="T76" s="75"/>
      <c r="U76" s="75"/>
      <c r="V76" s="75"/>
      <c r="W76" s="75"/>
    </row>
    <row r="77" spans="1:23" ht="15">
      <c r="A77" s="75"/>
      <c r="B77" s="20"/>
      <c r="C77" s="5" t="s">
        <v>117</v>
      </c>
      <c r="D77" s="3" t="str">
        <f>VLOOKUP(C77,'Default values'!$P$47:$R$52,IF($D$49=5,2,3),FALSE)</f>
        <v>N/A</v>
      </c>
      <c r="E77" s="230"/>
      <c r="F77" s="59" t="str">
        <f t="shared" si="3"/>
        <v>N/A</v>
      </c>
      <c r="G77" s="234" t="s">
        <v>121</v>
      </c>
      <c r="H77" s="75"/>
      <c r="I77" s="75"/>
      <c r="J77" s="75"/>
      <c r="K77" s="75"/>
      <c r="L77" s="75"/>
      <c r="M77" s="75"/>
      <c r="N77" s="75"/>
      <c r="O77" s="75"/>
      <c r="P77" s="75"/>
      <c r="Q77" s="75"/>
      <c r="R77" s="82"/>
      <c r="S77" s="82"/>
      <c r="T77" s="82"/>
      <c r="U77" s="75"/>
      <c r="V77" s="75"/>
      <c r="W77" s="75"/>
    </row>
    <row r="78" spans="1:23" ht="15.75" thickBot="1">
      <c r="A78" s="75"/>
      <c r="B78" s="20"/>
      <c r="C78" s="6" t="s">
        <v>118</v>
      </c>
      <c r="D78" s="10" t="str">
        <f>VLOOKUP(C78,'Default values'!$P$47:$R$52,IF($D$49=5,2,3),FALSE)</f>
        <v>N/A</v>
      </c>
      <c r="E78" s="229"/>
      <c r="F78" s="59" t="str">
        <f t="shared" si="3"/>
        <v>N/A</v>
      </c>
      <c r="G78" s="234" t="s">
        <v>121</v>
      </c>
      <c r="H78" s="75"/>
      <c r="I78" s="75"/>
      <c r="J78" s="75"/>
      <c r="K78" s="75"/>
      <c r="L78" s="75"/>
      <c r="M78" s="75"/>
      <c r="N78" s="75"/>
      <c r="O78" s="75"/>
      <c r="P78" s="75"/>
      <c r="Q78" s="75"/>
      <c r="R78" s="75"/>
      <c r="S78" s="75"/>
      <c r="T78" s="75"/>
      <c r="U78" s="75"/>
      <c r="V78" s="75"/>
      <c r="W78" s="75"/>
    </row>
    <row r="79" spans="1:23" ht="15.75" thickBot="1">
      <c r="A79" s="75"/>
      <c r="B79" s="20"/>
      <c r="C79" s="75"/>
      <c r="D79" s="75"/>
      <c r="E79" s="75"/>
      <c r="F79" s="75"/>
      <c r="G79" s="75"/>
      <c r="H79" s="75"/>
      <c r="I79" s="75"/>
      <c r="J79" s="75"/>
      <c r="K79" s="75"/>
      <c r="L79" s="75"/>
      <c r="M79" s="75"/>
      <c r="N79" s="75"/>
      <c r="O79" s="75"/>
      <c r="P79" s="75"/>
      <c r="Q79" s="75"/>
      <c r="R79" s="75"/>
      <c r="S79" s="75"/>
      <c r="T79" s="75"/>
      <c r="U79" s="75"/>
      <c r="V79" s="75"/>
      <c r="W79" s="75"/>
    </row>
    <row r="80" spans="1:23" ht="15">
      <c r="A80" s="75"/>
      <c r="B80" s="20"/>
      <c r="C80" s="7" t="s">
        <v>362</v>
      </c>
      <c r="D80" s="8" t="s">
        <v>10</v>
      </c>
      <c r="E80" s="9" t="s">
        <v>11</v>
      </c>
      <c r="F80" s="59"/>
      <c r="G80" s="234" t="s">
        <v>121</v>
      </c>
      <c r="H80" s="75"/>
      <c r="I80" s="75"/>
      <c r="J80" s="75"/>
      <c r="K80" s="75"/>
      <c r="L80" s="75"/>
      <c r="M80" s="75"/>
      <c r="N80" s="75"/>
      <c r="O80" s="75"/>
      <c r="P80" s="75"/>
      <c r="Q80" s="75"/>
      <c r="R80" s="75"/>
      <c r="S80" s="75"/>
      <c r="T80" s="75"/>
      <c r="U80" s="75"/>
      <c r="V80" s="75"/>
      <c r="W80" s="75"/>
    </row>
    <row r="81" spans="1:23" ht="15">
      <c r="A81" s="75"/>
      <c r="B81" s="20"/>
      <c r="C81" s="236"/>
      <c r="D81" s="3">
        <v>0</v>
      </c>
      <c r="E81" s="230"/>
      <c r="F81" s="59">
        <f>IF(E81="",D81,E81)</f>
        <v>0</v>
      </c>
      <c r="G81" s="75"/>
      <c r="H81" s="75"/>
      <c r="I81" s="75"/>
      <c r="J81" s="75"/>
      <c r="K81" s="75"/>
      <c r="L81" s="75"/>
      <c r="M81" s="75"/>
      <c r="N81" s="75"/>
      <c r="O81" s="75"/>
      <c r="P81" s="75"/>
      <c r="Q81" s="75"/>
      <c r="R81" s="75"/>
      <c r="S81" s="75"/>
      <c r="T81" s="75"/>
      <c r="U81" s="75"/>
      <c r="V81" s="75"/>
      <c r="W81" s="75"/>
    </row>
    <row r="82" spans="1:23" ht="15.75" thickBot="1">
      <c r="A82" s="75"/>
      <c r="B82" s="20"/>
      <c r="C82" s="237"/>
      <c r="D82" s="10">
        <v>0</v>
      </c>
      <c r="E82" s="229"/>
      <c r="F82" s="59">
        <f>IF(E82="",D82,E82)</f>
        <v>0</v>
      </c>
      <c r="G82" s="75"/>
      <c r="H82" s="75"/>
      <c r="I82" s="75"/>
      <c r="J82" s="75"/>
      <c r="K82" s="75"/>
      <c r="L82" s="75"/>
      <c r="M82" s="75"/>
      <c r="N82" s="75"/>
      <c r="O82" s="75"/>
      <c r="P82" s="75"/>
      <c r="Q82" s="75"/>
      <c r="R82" s="75"/>
      <c r="S82" s="75"/>
      <c r="T82" s="75"/>
      <c r="U82" s="75"/>
      <c r="V82" s="75"/>
      <c r="W82" s="75"/>
    </row>
    <row r="83" spans="1:23" ht="15.75" thickBot="1">
      <c r="A83" s="75"/>
      <c r="B83" s="20"/>
      <c r="C83" s="75"/>
      <c r="D83" s="75"/>
      <c r="E83" s="75"/>
      <c r="F83" s="80"/>
      <c r="G83" s="75"/>
      <c r="H83" s="75"/>
      <c r="I83" s="75"/>
      <c r="J83" s="75"/>
      <c r="K83" s="75"/>
      <c r="L83" s="75"/>
      <c r="M83" s="75"/>
      <c r="N83" s="75"/>
      <c r="O83" s="75"/>
      <c r="P83" s="75"/>
      <c r="Q83" s="75"/>
      <c r="R83" s="75"/>
      <c r="S83" s="75"/>
      <c r="T83" s="75"/>
      <c r="U83" s="75"/>
      <c r="V83" s="75"/>
      <c r="W83" s="75"/>
    </row>
    <row r="84" spans="1:23" ht="15">
      <c r="A84" s="75"/>
      <c r="B84" s="20"/>
      <c r="C84" s="7" t="s">
        <v>361</v>
      </c>
      <c r="D84" s="8" t="s">
        <v>10</v>
      </c>
      <c r="E84" s="9" t="s">
        <v>11</v>
      </c>
      <c r="F84" s="59"/>
      <c r="G84" s="234" t="s">
        <v>121</v>
      </c>
      <c r="H84" s="75"/>
      <c r="I84" s="75"/>
      <c r="J84" s="75"/>
      <c r="K84" s="75"/>
      <c r="L84" s="75"/>
      <c r="M84" s="75"/>
      <c r="N84" s="75"/>
      <c r="O84" s="75"/>
      <c r="P84" s="75"/>
      <c r="Q84" s="75"/>
      <c r="R84" s="75"/>
      <c r="S84" s="75"/>
      <c r="T84" s="75"/>
      <c r="U84" s="75"/>
      <c r="V84" s="75"/>
      <c r="W84" s="75"/>
    </row>
    <row r="85" spans="1:23" ht="15">
      <c r="A85" s="75"/>
      <c r="B85" s="20"/>
      <c r="C85" s="236"/>
      <c r="D85" s="3">
        <v>0</v>
      </c>
      <c r="E85" s="230"/>
      <c r="F85" s="59">
        <f>IF(E85="",D85,E85)</f>
        <v>0</v>
      </c>
      <c r="G85" s="75"/>
      <c r="H85" s="75"/>
      <c r="I85" s="75"/>
      <c r="J85" s="75"/>
      <c r="K85" s="75"/>
      <c r="L85" s="75"/>
      <c r="M85" s="75"/>
      <c r="N85" s="75"/>
      <c r="O85" s="75"/>
      <c r="P85" s="75"/>
      <c r="Q85" s="75"/>
      <c r="R85" s="75"/>
      <c r="S85" s="75"/>
      <c r="T85" s="75"/>
      <c r="U85" s="75"/>
      <c r="V85" s="75"/>
      <c r="W85" s="75"/>
    </row>
    <row r="86" spans="1:23" ht="15.75" thickBot="1">
      <c r="A86" s="75"/>
      <c r="B86" s="20"/>
      <c r="C86" s="237"/>
      <c r="D86" s="10">
        <v>0</v>
      </c>
      <c r="E86" s="229"/>
      <c r="F86" s="59">
        <f>IF(E86="",D86,E86)</f>
        <v>0</v>
      </c>
      <c r="G86" s="75"/>
      <c r="H86" s="75"/>
      <c r="I86" s="75"/>
      <c r="J86" s="75"/>
      <c r="K86" s="75"/>
      <c r="L86" s="75"/>
      <c r="M86" s="75"/>
      <c r="N86" s="75"/>
      <c r="O86" s="75"/>
      <c r="P86" s="75"/>
      <c r="Q86" s="75"/>
      <c r="R86" s="75"/>
      <c r="S86" s="75"/>
      <c r="T86" s="75"/>
      <c r="U86" s="75"/>
      <c r="V86" s="75"/>
      <c r="W86" s="75"/>
    </row>
    <row r="87" spans="1:23" ht="15.75" thickBot="1">
      <c r="A87" s="75"/>
      <c r="B87" s="120"/>
      <c r="C87" s="75"/>
      <c r="D87" s="75"/>
      <c r="E87" s="75"/>
      <c r="F87" s="80"/>
      <c r="G87" s="75"/>
      <c r="H87" s="75"/>
      <c r="I87" s="75"/>
      <c r="J87" s="75"/>
      <c r="K87" s="75"/>
      <c r="L87" s="75"/>
      <c r="M87" s="75"/>
      <c r="N87" s="75"/>
      <c r="O87" s="75"/>
      <c r="P87" s="75"/>
      <c r="Q87" s="75"/>
      <c r="R87" s="75"/>
      <c r="S87" s="75"/>
      <c r="T87" s="75"/>
      <c r="U87" s="75"/>
      <c r="V87" s="75"/>
      <c r="W87" s="75"/>
    </row>
    <row r="88" spans="1:23" ht="15.75" thickTop="1">
      <c r="A88" s="75"/>
      <c r="B88" s="117"/>
      <c r="C88" s="117"/>
      <c r="D88" s="117"/>
      <c r="E88" s="117"/>
      <c r="F88" s="118"/>
      <c r="G88" s="117"/>
      <c r="H88" s="117"/>
      <c r="I88" s="117"/>
      <c r="J88" s="117"/>
      <c r="K88" s="117"/>
      <c r="L88" s="75"/>
      <c r="M88" s="75"/>
      <c r="N88" s="75"/>
      <c r="O88" s="75"/>
      <c r="P88" s="75"/>
      <c r="Q88" s="75"/>
      <c r="R88" s="75"/>
      <c r="S88" s="75"/>
      <c r="T88" s="75"/>
      <c r="U88" s="75"/>
      <c r="V88" s="75"/>
      <c r="W88" s="75"/>
    </row>
    <row r="89" spans="1:23" ht="15.75">
      <c r="A89" s="75"/>
      <c r="B89" s="75"/>
      <c r="C89" s="113" t="s">
        <v>167</v>
      </c>
      <c r="D89" s="75"/>
      <c r="E89" s="75"/>
      <c r="F89" s="80"/>
      <c r="G89" s="75"/>
      <c r="H89" s="75"/>
      <c r="I89" s="75"/>
      <c r="J89" s="75"/>
      <c r="K89" s="75"/>
      <c r="L89" s="75"/>
      <c r="M89" s="75"/>
      <c r="N89" s="75"/>
      <c r="O89" s="75"/>
      <c r="P89" s="75"/>
      <c r="Q89" s="75"/>
      <c r="R89" s="75"/>
      <c r="S89" s="75"/>
      <c r="T89" s="75"/>
      <c r="U89" s="75"/>
      <c r="V89" s="75"/>
      <c r="W89" s="75"/>
    </row>
    <row r="90" spans="1:23" ht="15.75" thickBot="1">
      <c r="A90" s="75"/>
      <c r="B90" s="119"/>
      <c r="C90" s="75"/>
      <c r="D90" s="75"/>
      <c r="E90" s="75"/>
      <c r="F90" s="80"/>
      <c r="G90" s="75"/>
      <c r="H90" s="75"/>
      <c r="I90" s="75"/>
      <c r="J90" s="75"/>
      <c r="K90" s="75"/>
      <c r="L90" s="75"/>
      <c r="M90" s="75"/>
      <c r="N90" s="75"/>
      <c r="O90" s="75"/>
      <c r="P90" s="75"/>
      <c r="Q90" s="75"/>
      <c r="R90" s="75"/>
      <c r="S90" s="75"/>
      <c r="T90" s="75"/>
      <c r="U90" s="75"/>
      <c r="V90" s="75"/>
      <c r="W90" s="75"/>
    </row>
    <row r="91" spans="1:23" ht="15">
      <c r="A91" s="75"/>
      <c r="B91" s="20"/>
      <c r="C91" s="23" t="s">
        <v>360</v>
      </c>
      <c r="D91" s="80" t="s">
        <v>12</v>
      </c>
      <c r="E91" s="75"/>
      <c r="F91" s="80"/>
      <c r="G91" s="75"/>
      <c r="H91" s="75"/>
      <c r="I91" s="75"/>
      <c r="J91" s="75"/>
      <c r="K91" s="75"/>
      <c r="L91" s="75"/>
      <c r="M91" s="75"/>
      <c r="N91" s="75"/>
      <c r="O91" s="75"/>
      <c r="P91" s="75"/>
      <c r="Q91" s="75"/>
      <c r="R91" s="75"/>
      <c r="S91" s="75"/>
      <c r="T91" s="75"/>
      <c r="U91" s="75"/>
      <c r="V91" s="75"/>
      <c r="W91" s="75"/>
    </row>
    <row r="92" spans="1:23" ht="15.75" thickBot="1">
      <c r="A92" s="75"/>
      <c r="B92" s="20"/>
      <c r="C92" s="232" t="s">
        <v>5</v>
      </c>
      <c r="D92" s="80">
        <f>VLOOKUP(C92,Q25:R27,2,FALSE)</f>
        <v>4</v>
      </c>
      <c r="E92" s="75"/>
      <c r="F92" s="80"/>
      <c r="G92" s="234" t="s">
        <v>121</v>
      </c>
      <c r="H92" s="75"/>
      <c r="I92" s="75"/>
      <c r="J92" s="75"/>
      <c r="K92" s="75"/>
      <c r="L92" s="75"/>
      <c r="M92" s="75"/>
      <c r="N92" s="75"/>
      <c r="O92" s="75"/>
      <c r="P92" s="75"/>
      <c r="Q92" s="75"/>
      <c r="R92" s="75"/>
      <c r="S92" s="75"/>
      <c r="T92" s="75"/>
      <c r="U92" s="75"/>
      <c r="V92" s="75"/>
      <c r="W92" s="75"/>
    </row>
    <row r="93" spans="1:23" ht="15.75" thickBot="1">
      <c r="A93" s="75"/>
      <c r="B93" s="20"/>
      <c r="C93" s="75"/>
      <c r="D93" s="75"/>
      <c r="E93" s="75"/>
      <c r="F93" s="80"/>
      <c r="G93" s="75"/>
      <c r="H93" s="75"/>
      <c r="I93" s="75"/>
      <c r="J93" s="75"/>
      <c r="K93" s="75"/>
      <c r="L93" s="75"/>
      <c r="M93" s="75"/>
      <c r="N93" s="75"/>
      <c r="O93" s="75"/>
      <c r="P93" s="75"/>
      <c r="Q93" s="75"/>
      <c r="R93" s="75"/>
      <c r="S93" s="75"/>
      <c r="T93" s="75"/>
      <c r="U93" s="75"/>
      <c r="V93" s="75"/>
      <c r="W93" s="75"/>
    </row>
    <row r="94" spans="1:23" ht="15">
      <c r="A94" s="75"/>
      <c r="B94" s="20"/>
      <c r="C94" s="24" t="s">
        <v>159</v>
      </c>
      <c r="D94" s="25" t="s">
        <v>10</v>
      </c>
      <c r="E94" s="30" t="s">
        <v>11</v>
      </c>
      <c r="F94" s="80"/>
      <c r="G94" s="75"/>
      <c r="H94" s="75"/>
      <c r="I94" s="75"/>
      <c r="J94" s="75"/>
      <c r="K94" s="75"/>
      <c r="L94" s="75"/>
      <c r="M94" s="75"/>
      <c r="N94" s="75"/>
      <c r="O94" s="75"/>
      <c r="P94" s="75"/>
      <c r="Q94" s="75"/>
      <c r="R94" s="75"/>
      <c r="S94" s="75"/>
      <c r="T94" s="75"/>
      <c r="U94" s="75"/>
      <c r="V94" s="75"/>
      <c r="W94" s="75"/>
    </row>
    <row r="95" spans="1:23" ht="15">
      <c r="A95" s="75"/>
      <c r="B95" s="20"/>
      <c r="C95" s="57" t="s">
        <v>316</v>
      </c>
      <c r="D95" s="56" t="str">
        <f>VLOOKUP(C95,'Default values'!$P$56:$S$64,$D$92,FALSE)</f>
        <v>-</v>
      </c>
      <c r="E95" s="233"/>
      <c r="F95" s="59" t="str">
        <f>IF(E95="",D95,E95)</f>
        <v>-</v>
      </c>
      <c r="G95" s="234" t="s">
        <v>121</v>
      </c>
      <c r="H95" s="75"/>
      <c r="I95" s="75"/>
      <c r="J95" s="75"/>
      <c r="K95" s="75"/>
      <c r="L95" s="75"/>
      <c r="M95" s="75"/>
      <c r="N95" s="75"/>
      <c r="O95" s="75"/>
      <c r="P95" s="75"/>
      <c r="Q95" s="75"/>
      <c r="R95" s="75"/>
      <c r="S95" s="75"/>
      <c r="T95" s="75"/>
      <c r="U95" s="75"/>
      <c r="V95" s="75"/>
      <c r="W95" s="75"/>
    </row>
    <row r="96" spans="1:23" ht="15">
      <c r="A96" s="75"/>
      <c r="B96" s="20"/>
      <c r="C96" s="57" t="s">
        <v>85</v>
      </c>
      <c r="D96" s="56" t="str">
        <f>VLOOKUP(C96,'Default values'!$P$56:$S$64,$D$92,FALSE)</f>
        <v>-</v>
      </c>
      <c r="E96" s="233"/>
      <c r="F96" s="59" t="str">
        <f>IF(E96="",D96,E96)</f>
        <v>-</v>
      </c>
      <c r="G96" s="234" t="s">
        <v>121</v>
      </c>
      <c r="H96" s="75"/>
      <c r="I96" s="75"/>
      <c r="J96" s="75"/>
      <c r="K96" s="75"/>
      <c r="L96" s="75"/>
      <c r="M96" s="75"/>
      <c r="N96" s="75"/>
      <c r="O96" s="75"/>
      <c r="P96" s="75"/>
      <c r="Q96" s="75"/>
      <c r="R96" s="75"/>
      <c r="S96" s="75"/>
      <c r="T96" s="75"/>
      <c r="U96" s="75"/>
      <c r="V96" s="75"/>
      <c r="W96" s="75"/>
    </row>
    <row r="97" spans="1:23" ht="15">
      <c r="A97" s="75"/>
      <c r="B97" s="20"/>
      <c r="C97" s="57" t="s">
        <v>244</v>
      </c>
      <c r="D97" s="56" t="str">
        <f>VLOOKUP(C97,'Default values'!$P$56:$S$64,$D$92,FALSE)</f>
        <v>-</v>
      </c>
      <c r="E97" s="233"/>
      <c r="F97" s="59" t="str">
        <f>IF(E97="",D97,E97)</f>
        <v>-</v>
      </c>
      <c r="G97" s="234" t="s">
        <v>121</v>
      </c>
      <c r="H97" s="75"/>
      <c r="I97" s="75"/>
      <c r="J97" s="75"/>
      <c r="K97" s="75"/>
      <c r="L97" s="75"/>
      <c r="M97" s="75"/>
      <c r="N97" s="75"/>
      <c r="O97" s="75"/>
      <c r="P97" s="75"/>
      <c r="Q97" s="75"/>
      <c r="R97" s="75"/>
      <c r="S97" s="75"/>
      <c r="T97" s="75"/>
      <c r="U97" s="75"/>
      <c r="V97" s="75"/>
      <c r="W97" s="75"/>
    </row>
    <row r="98" spans="1:23" ht="15">
      <c r="A98" s="75"/>
      <c r="B98" s="20"/>
      <c r="C98" s="26" t="s">
        <v>200</v>
      </c>
      <c r="D98" s="136" t="str">
        <f>VLOOKUP(C98,'Default values'!$P$56:$S$64,$D$92,FALSE)</f>
        <v>-</v>
      </c>
      <c r="E98" s="230"/>
      <c r="F98" s="59" t="str">
        <f>IF(E98="",D98,E98)</f>
        <v>-</v>
      </c>
      <c r="G98" s="234" t="s">
        <v>121</v>
      </c>
      <c r="H98" s="75"/>
      <c r="I98" s="75"/>
      <c r="J98" s="75"/>
      <c r="K98" s="75"/>
      <c r="L98" s="75"/>
      <c r="M98" s="75"/>
      <c r="N98" s="75"/>
      <c r="O98" s="75"/>
      <c r="P98" s="75"/>
      <c r="Q98" s="75"/>
      <c r="R98" s="75"/>
      <c r="S98" s="75"/>
      <c r="T98" s="75"/>
      <c r="U98" s="75"/>
      <c r="V98" s="75"/>
      <c r="W98" s="75"/>
    </row>
    <row r="99" spans="1:23" ht="15" customHeight="1">
      <c r="A99" s="75"/>
      <c r="B99" s="20"/>
      <c r="C99" s="26" t="s">
        <v>201</v>
      </c>
      <c r="D99" s="136" t="str">
        <f>VLOOKUP(C99,'Default values'!$P$56:$S$64,$D$92,FALSE)</f>
        <v>-</v>
      </c>
      <c r="E99" s="230"/>
      <c r="F99" s="59" t="str">
        <f aca="true" t="shared" si="4" ref="F99:F107">IF(E99="",D99,E99)</f>
        <v>-</v>
      </c>
      <c r="G99" s="234" t="s">
        <v>121</v>
      </c>
      <c r="H99" s="75"/>
      <c r="I99" s="75"/>
      <c r="J99" s="75"/>
      <c r="K99" s="75"/>
      <c r="L99" s="75"/>
      <c r="M99" s="75"/>
      <c r="N99" s="75"/>
      <c r="O99" s="75"/>
      <c r="P99" s="75"/>
      <c r="Q99" s="75"/>
      <c r="R99" s="75"/>
      <c r="S99" s="75"/>
      <c r="T99" s="75"/>
      <c r="U99" s="75"/>
      <c r="V99" s="75"/>
      <c r="W99" s="75"/>
    </row>
    <row r="100" spans="1:23" ht="15">
      <c r="A100" s="75"/>
      <c r="B100" s="20"/>
      <c r="C100" s="26" t="s">
        <v>255</v>
      </c>
      <c r="D100" s="136" t="str">
        <f>VLOOKUP(C100,'Default values'!$P$56:$S$64,$D$92,FALSE)</f>
        <v>-</v>
      </c>
      <c r="E100" s="230"/>
      <c r="F100" s="59" t="str">
        <f t="shared" si="4"/>
        <v>-</v>
      </c>
      <c r="G100" s="234" t="s">
        <v>121</v>
      </c>
      <c r="H100" s="75"/>
      <c r="I100" s="75"/>
      <c r="J100" s="75"/>
      <c r="K100" s="75"/>
      <c r="L100" s="75"/>
      <c r="M100" s="75"/>
      <c r="N100" s="75"/>
      <c r="O100" s="75"/>
      <c r="P100" s="75"/>
      <c r="Q100" s="75"/>
      <c r="R100" s="75"/>
      <c r="S100" s="75"/>
      <c r="T100" s="75"/>
      <c r="U100" s="75"/>
      <c r="V100" s="75"/>
      <c r="W100" s="75"/>
    </row>
    <row r="101" spans="1:23" ht="15">
      <c r="A101" s="75"/>
      <c r="B101" s="20"/>
      <c r="C101" s="26" t="s">
        <v>203</v>
      </c>
      <c r="D101" s="27" t="str">
        <f>VLOOKUP(C101,'Default values'!$P$56:$S$64,$D$92,FALSE)</f>
        <v>-</v>
      </c>
      <c r="E101" s="230"/>
      <c r="F101" s="59" t="str">
        <f t="shared" si="4"/>
        <v>-</v>
      </c>
      <c r="G101" s="234" t="s">
        <v>121</v>
      </c>
      <c r="H101" s="75"/>
      <c r="I101" s="75"/>
      <c r="J101" s="75"/>
      <c r="K101" s="75"/>
      <c r="L101" s="75"/>
      <c r="M101" s="75"/>
      <c r="N101" s="75"/>
      <c r="O101" s="75"/>
      <c r="P101" s="75"/>
      <c r="Q101" s="75"/>
      <c r="R101" s="75"/>
      <c r="S101" s="75"/>
      <c r="T101" s="75"/>
      <c r="U101" s="75"/>
      <c r="V101" s="75"/>
      <c r="W101" s="75"/>
    </row>
    <row r="102" spans="1:23" ht="15">
      <c r="A102" s="75"/>
      <c r="B102" s="20"/>
      <c r="C102" s="26" t="s">
        <v>256</v>
      </c>
      <c r="D102" s="27" t="str">
        <f>VLOOKUP(C102,'Default values'!$P$56:$S$64,$D$92,FALSE)</f>
        <v>-</v>
      </c>
      <c r="E102" s="231"/>
      <c r="F102" s="59" t="str">
        <f t="shared" si="4"/>
        <v>-</v>
      </c>
      <c r="G102" s="234" t="s">
        <v>121</v>
      </c>
      <c r="H102" s="75"/>
      <c r="I102" s="75"/>
      <c r="J102" s="75"/>
      <c r="K102" s="75"/>
      <c r="L102" s="75"/>
      <c r="M102" s="75"/>
      <c r="N102" s="75"/>
      <c r="O102" s="75"/>
      <c r="P102" s="75"/>
      <c r="Q102" s="75"/>
      <c r="R102" s="75"/>
      <c r="S102" s="75"/>
      <c r="T102" s="75"/>
      <c r="U102" s="75"/>
      <c r="V102" s="75"/>
      <c r="W102" s="75"/>
    </row>
    <row r="103" spans="1:23" ht="15.75" thickBot="1">
      <c r="A103" s="75"/>
      <c r="B103" s="20"/>
      <c r="C103" s="28" t="s">
        <v>17</v>
      </c>
      <c r="D103" s="29" t="str">
        <f>VLOOKUP(C103,'Default values'!$P$56:$S$64,$D$92,FALSE)</f>
        <v>-</v>
      </c>
      <c r="E103" s="229"/>
      <c r="F103" s="59" t="str">
        <f t="shared" si="4"/>
        <v>-</v>
      </c>
      <c r="G103" s="234" t="s">
        <v>121</v>
      </c>
      <c r="H103" s="75"/>
      <c r="I103" s="75"/>
      <c r="J103" s="75"/>
      <c r="K103" s="75"/>
      <c r="L103" s="75"/>
      <c r="M103" s="75"/>
      <c r="N103" s="75"/>
      <c r="O103" s="75"/>
      <c r="P103" s="75"/>
      <c r="Q103" s="75"/>
      <c r="R103" s="75"/>
      <c r="S103" s="75"/>
      <c r="T103" s="75"/>
      <c r="U103" s="75"/>
      <c r="V103" s="75"/>
      <c r="W103" s="75"/>
    </row>
    <row r="104" spans="1:23" ht="15.75" thickBot="1">
      <c r="A104" s="75"/>
      <c r="B104" s="20"/>
      <c r="C104" s="75"/>
      <c r="D104" s="75"/>
      <c r="E104" s="75"/>
      <c r="F104" s="80"/>
      <c r="G104" s="75"/>
      <c r="H104" s="75"/>
      <c r="I104" s="75"/>
      <c r="J104" s="75"/>
      <c r="K104" s="75"/>
      <c r="L104" s="75"/>
      <c r="M104" s="75"/>
      <c r="N104" s="75"/>
      <c r="O104" s="75"/>
      <c r="P104" s="75"/>
      <c r="Q104" s="75"/>
      <c r="R104" s="75"/>
      <c r="S104" s="75"/>
      <c r="T104" s="75"/>
      <c r="U104" s="75"/>
      <c r="V104" s="75"/>
      <c r="W104" s="75"/>
    </row>
    <row r="105" spans="1:23" ht="15">
      <c r="A105" s="75"/>
      <c r="B105" s="20"/>
      <c r="C105" s="24" t="s">
        <v>32</v>
      </c>
      <c r="D105" s="25" t="s">
        <v>10</v>
      </c>
      <c r="E105" s="30" t="s">
        <v>11</v>
      </c>
      <c r="F105" s="80"/>
      <c r="G105" s="75"/>
      <c r="H105" s="75"/>
      <c r="I105" s="75"/>
      <c r="J105" s="75"/>
      <c r="K105" s="75"/>
      <c r="L105" s="75"/>
      <c r="M105" s="75"/>
      <c r="N105" s="75"/>
      <c r="O105" s="75"/>
      <c r="P105" s="75"/>
      <c r="Q105" s="75"/>
      <c r="R105" s="75"/>
      <c r="S105" s="75"/>
      <c r="T105" s="75"/>
      <c r="U105" s="75"/>
      <c r="V105" s="75"/>
      <c r="W105" s="75"/>
    </row>
    <row r="106" spans="1:23" ht="15">
      <c r="A106" s="75"/>
      <c r="B106" s="20"/>
      <c r="C106" s="26" t="s">
        <v>240</v>
      </c>
      <c r="D106" s="27" t="str">
        <f>VLOOKUP(C106,'Default values'!$P$68:$S$69,$D$92,FALSE)</f>
        <v>-</v>
      </c>
      <c r="E106" s="230"/>
      <c r="F106" s="59" t="str">
        <f t="shared" si="4"/>
        <v>-</v>
      </c>
      <c r="G106" s="234" t="s">
        <v>121</v>
      </c>
      <c r="H106" s="75"/>
      <c r="I106" s="75"/>
      <c r="J106" s="75"/>
      <c r="K106" s="75"/>
      <c r="L106" s="75"/>
      <c r="M106" s="75"/>
      <c r="N106" s="75"/>
      <c r="O106" s="75"/>
      <c r="P106" s="75"/>
      <c r="Q106" s="75"/>
      <c r="R106" s="75"/>
      <c r="S106" s="75"/>
      <c r="T106" s="75"/>
      <c r="U106" s="75"/>
      <c r="V106" s="75"/>
      <c r="W106" s="75"/>
    </row>
    <row r="107" spans="1:23" ht="15.75" thickBot="1">
      <c r="A107" s="75"/>
      <c r="B107" s="20"/>
      <c r="C107" s="28" t="s">
        <v>243</v>
      </c>
      <c r="D107" s="29" t="str">
        <f>VLOOKUP(C107,'Default values'!$P$68:$S$69,$D$92,FALSE)</f>
        <v>-</v>
      </c>
      <c r="E107" s="229"/>
      <c r="F107" s="59" t="str">
        <f t="shared" si="4"/>
        <v>-</v>
      </c>
      <c r="G107" s="234" t="s">
        <v>121</v>
      </c>
      <c r="H107" s="75"/>
      <c r="I107" s="75"/>
      <c r="J107" s="75"/>
      <c r="K107" s="75"/>
      <c r="L107" s="75"/>
      <c r="M107" s="75"/>
      <c r="N107" s="75"/>
      <c r="O107" s="75"/>
      <c r="P107" s="75"/>
      <c r="Q107" s="75"/>
      <c r="R107" s="75"/>
      <c r="S107" s="75"/>
      <c r="T107" s="75"/>
      <c r="U107" s="75"/>
      <c r="V107" s="75"/>
      <c r="W107" s="75"/>
    </row>
    <row r="108" spans="1:23" ht="15.75" thickBot="1">
      <c r="A108" s="75"/>
      <c r="B108" s="20"/>
      <c r="C108" s="75"/>
      <c r="D108" s="75"/>
      <c r="E108" s="75"/>
      <c r="F108" s="75"/>
      <c r="G108" s="75"/>
      <c r="H108" s="75"/>
      <c r="I108" s="75"/>
      <c r="J108" s="75"/>
      <c r="K108" s="75"/>
      <c r="L108" s="75"/>
      <c r="M108" s="75"/>
      <c r="N108" s="75"/>
      <c r="O108" s="75"/>
      <c r="P108" s="75"/>
      <c r="Q108" s="75"/>
      <c r="R108" s="75"/>
      <c r="S108" s="75"/>
      <c r="T108" s="75"/>
      <c r="U108" s="75"/>
      <c r="V108" s="75"/>
      <c r="W108" s="75"/>
    </row>
    <row r="109" spans="1:23" ht="15">
      <c r="A109" s="75"/>
      <c r="B109" s="20"/>
      <c r="C109" s="24" t="s">
        <v>181</v>
      </c>
      <c r="D109" s="25" t="s">
        <v>10</v>
      </c>
      <c r="E109" s="30" t="s">
        <v>11</v>
      </c>
      <c r="F109" s="75"/>
      <c r="G109" s="75"/>
      <c r="H109" s="75"/>
      <c r="I109" s="75"/>
      <c r="J109" s="75"/>
      <c r="K109" s="75"/>
      <c r="L109" s="75"/>
      <c r="M109" s="75"/>
      <c r="N109" s="75"/>
      <c r="O109" s="75"/>
      <c r="P109" s="75"/>
      <c r="Q109" s="75"/>
      <c r="R109" s="75"/>
      <c r="S109" s="75"/>
      <c r="T109" s="75"/>
      <c r="U109" s="75"/>
      <c r="V109" s="75"/>
      <c r="W109" s="75"/>
    </row>
    <row r="110" spans="1:23" ht="15">
      <c r="A110" s="75"/>
      <c r="B110" s="20"/>
      <c r="C110" s="26" t="s">
        <v>230</v>
      </c>
      <c r="D110" s="137" t="str">
        <f>VLOOKUP(C110,'Default values'!$P$73:$S$74,$D$92,FALSE)</f>
        <v>-</v>
      </c>
      <c r="E110" s="231"/>
      <c r="F110" s="59" t="str">
        <f>IF(E110="",D110,E110)</f>
        <v>-</v>
      </c>
      <c r="G110" s="234" t="s">
        <v>121</v>
      </c>
      <c r="H110" s="75"/>
      <c r="I110" s="75"/>
      <c r="J110" s="75"/>
      <c r="K110" s="75"/>
      <c r="L110" s="75"/>
      <c r="M110" s="75"/>
      <c r="N110" s="75"/>
      <c r="O110" s="75"/>
      <c r="P110" s="75"/>
      <c r="Q110" s="75"/>
      <c r="R110" s="75"/>
      <c r="S110" s="75"/>
      <c r="T110" s="75"/>
      <c r="U110" s="75"/>
      <c r="V110" s="75"/>
      <c r="W110" s="75"/>
    </row>
    <row r="111" spans="1:23" ht="15.75" thickBot="1">
      <c r="A111" s="75"/>
      <c r="B111" s="20"/>
      <c r="C111" s="28" t="s">
        <v>171</v>
      </c>
      <c r="D111" s="29" t="str">
        <f>VLOOKUP(C111,'Default values'!$P$73:$S$74,$D$92,FALSE)</f>
        <v>-</v>
      </c>
      <c r="E111" s="229"/>
      <c r="F111" s="59" t="str">
        <f>IF(E111="",D111,E111)</f>
        <v>-</v>
      </c>
      <c r="G111" s="234" t="s">
        <v>121</v>
      </c>
      <c r="H111" s="75"/>
      <c r="I111" s="75"/>
      <c r="J111" s="75"/>
      <c r="K111" s="75"/>
      <c r="L111" s="75"/>
      <c r="M111" s="75"/>
      <c r="N111" s="75"/>
      <c r="O111" s="75"/>
      <c r="P111" s="75"/>
      <c r="Q111" s="75"/>
      <c r="R111" s="75"/>
      <c r="S111" s="75"/>
      <c r="T111" s="75"/>
      <c r="U111" s="75"/>
      <c r="V111" s="75"/>
      <c r="W111" s="75"/>
    </row>
    <row r="112" spans="1:23" ht="15.75" thickBot="1">
      <c r="A112" s="75"/>
      <c r="B112" s="20"/>
      <c r="C112" s="75"/>
      <c r="D112" s="75"/>
      <c r="E112" s="75"/>
      <c r="F112" s="75"/>
      <c r="G112" s="75"/>
      <c r="H112" s="75"/>
      <c r="I112" s="75"/>
      <c r="J112" s="75"/>
      <c r="K112" s="75"/>
      <c r="L112" s="75"/>
      <c r="M112" s="75"/>
      <c r="N112" s="75"/>
      <c r="O112" s="75"/>
      <c r="P112" s="75"/>
      <c r="Q112" s="75"/>
      <c r="R112" s="75"/>
      <c r="S112" s="75"/>
      <c r="T112" s="75"/>
      <c r="U112" s="75"/>
      <c r="V112" s="75"/>
      <c r="W112" s="75"/>
    </row>
    <row r="113" spans="1:23" ht="15">
      <c r="A113" s="75"/>
      <c r="B113" s="20"/>
      <c r="C113" s="24" t="s">
        <v>359</v>
      </c>
      <c r="D113" s="25" t="s">
        <v>10</v>
      </c>
      <c r="E113" s="30" t="s">
        <v>11</v>
      </c>
      <c r="F113" s="59"/>
      <c r="G113" s="234" t="s">
        <v>121</v>
      </c>
      <c r="H113" s="75"/>
      <c r="I113" s="75"/>
      <c r="J113" s="75"/>
      <c r="K113" s="75"/>
      <c r="L113" s="75"/>
      <c r="M113" s="75"/>
      <c r="N113" s="75"/>
      <c r="O113" s="75"/>
      <c r="P113" s="75"/>
      <c r="Q113" s="75"/>
      <c r="R113" s="75"/>
      <c r="S113" s="75"/>
      <c r="T113" s="75"/>
      <c r="U113" s="75"/>
      <c r="V113" s="75"/>
      <c r="W113" s="75"/>
    </row>
    <row r="114" spans="1:23" ht="15">
      <c r="A114" s="75"/>
      <c r="B114" s="20"/>
      <c r="C114" s="236"/>
      <c r="D114" s="27">
        <v>0</v>
      </c>
      <c r="E114" s="230"/>
      <c r="F114" s="59">
        <f>IF(E114="",D114,E114)</f>
        <v>0</v>
      </c>
      <c r="G114" s="75"/>
      <c r="H114" s="75"/>
      <c r="I114" s="75"/>
      <c r="J114" s="75"/>
      <c r="K114" s="75"/>
      <c r="L114" s="75"/>
      <c r="M114" s="75"/>
      <c r="N114" s="75"/>
      <c r="O114" s="75"/>
      <c r="P114" s="75"/>
      <c r="Q114" s="75"/>
      <c r="R114" s="75"/>
      <c r="S114" s="75"/>
      <c r="T114" s="75"/>
      <c r="U114" s="75"/>
      <c r="V114" s="75"/>
      <c r="W114" s="75"/>
    </row>
    <row r="115" spans="1:23" ht="15.75" thickBot="1">
      <c r="A115" s="75"/>
      <c r="B115" s="20"/>
      <c r="C115" s="237"/>
      <c r="D115" s="29">
        <v>0</v>
      </c>
      <c r="E115" s="229"/>
      <c r="F115" s="59">
        <f>IF(E115="",D115,E115)</f>
        <v>0</v>
      </c>
      <c r="G115" s="75"/>
      <c r="H115" s="75"/>
      <c r="I115" s="75"/>
      <c r="J115" s="75"/>
      <c r="K115" s="75"/>
      <c r="L115" s="75"/>
      <c r="M115" s="75"/>
      <c r="N115" s="75"/>
      <c r="O115" s="75"/>
      <c r="P115" s="75"/>
      <c r="Q115" s="75"/>
      <c r="R115" s="75"/>
      <c r="S115" s="75"/>
      <c r="T115" s="75"/>
      <c r="U115" s="75"/>
      <c r="V115" s="75"/>
      <c r="W115" s="75"/>
    </row>
    <row r="116" spans="1:23" ht="15.75" thickBot="1">
      <c r="A116" s="75"/>
      <c r="B116" s="20"/>
      <c r="C116" s="75"/>
      <c r="D116" s="75"/>
      <c r="E116" s="75"/>
      <c r="F116" s="80"/>
      <c r="G116" s="75"/>
      <c r="H116" s="75"/>
      <c r="I116" s="75"/>
      <c r="J116" s="75"/>
      <c r="K116" s="75"/>
      <c r="L116" s="75"/>
      <c r="M116" s="75"/>
      <c r="N116" s="75"/>
      <c r="O116" s="75"/>
      <c r="P116" s="75"/>
      <c r="Q116" s="75"/>
      <c r="R116" s="75"/>
      <c r="S116" s="75"/>
      <c r="T116" s="75"/>
      <c r="U116" s="75"/>
      <c r="V116" s="75"/>
      <c r="W116" s="75"/>
    </row>
    <row r="117" spans="1:23" ht="15">
      <c r="A117" s="75"/>
      <c r="B117" s="20"/>
      <c r="C117" s="24" t="s">
        <v>358</v>
      </c>
      <c r="D117" s="25" t="s">
        <v>10</v>
      </c>
      <c r="E117" s="30" t="s">
        <v>11</v>
      </c>
      <c r="F117" s="59"/>
      <c r="G117" s="234" t="s">
        <v>121</v>
      </c>
      <c r="H117" s="75"/>
      <c r="I117" s="75"/>
      <c r="J117" s="75"/>
      <c r="K117" s="75"/>
      <c r="L117" s="75"/>
      <c r="M117" s="75"/>
      <c r="N117" s="75"/>
      <c r="O117" s="75"/>
      <c r="P117" s="75"/>
      <c r="Q117" s="75"/>
      <c r="R117" s="75"/>
      <c r="S117" s="75"/>
      <c r="T117" s="75"/>
      <c r="U117" s="75"/>
      <c r="V117" s="75"/>
      <c r="W117" s="75"/>
    </row>
    <row r="118" spans="1:23" ht="15">
      <c r="A118" s="75"/>
      <c r="B118" s="20"/>
      <c r="C118" s="236"/>
      <c r="D118" s="27">
        <v>0</v>
      </c>
      <c r="E118" s="230"/>
      <c r="F118" s="59">
        <f>IF(E118="",D118,E118)</f>
        <v>0</v>
      </c>
      <c r="G118" s="75"/>
      <c r="H118" s="75"/>
      <c r="I118" s="75"/>
      <c r="J118" s="75"/>
      <c r="K118" s="75"/>
      <c r="L118" s="75"/>
      <c r="M118" s="75"/>
      <c r="N118" s="75"/>
      <c r="O118" s="75"/>
      <c r="P118" s="75"/>
      <c r="Q118" s="75"/>
      <c r="R118" s="75"/>
      <c r="S118" s="75"/>
      <c r="T118" s="75"/>
      <c r="U118" s="75"/>
      <c r="V118" s="75"/>
      <c r="W118" s="75"/>
    </row>
    <row r="119" spans="1:23" ht="15.75" thickBot="1">
      <c r="A119" s="75"/>
      <c r="B119" s="20"/>
      <c r="C119" s="237"/>
      <c r="D119" s="29">
        <v>0</v>
      </c>
      <c r="E119" s="229"/>
      <c r="F119" s="59">
        <f>IF(E119="",D119,E119)</f>
        <v>0</v>
      </c>
      <c r="G119" s="75"/>
      <c r="H119" s="75"/>
      <c r="I119" s="75"/>
      <c r="J119" s="75"/>
      <c r="K119" s="75"/>
      <c r="L119" s="75"/>
      <c r="M119" s="75"/>
      <c r="N119" s="75"/>
      <c r="O119" s="75"/>
      <c r="P119" s="75"/>
      <c r="Q119" s="75"/>
      <c r="R119" s="75"/>
      <c r="S119" s="75"/>
      <c r="T119" s="75"/>
      <c r="U119" s="75"/>
      <c r="V119" s="75"/>
      <c r="W119" s="75"/>
    </row>
    <row r="120" spans="1:23" ht="15.75" thickBot="1">
      <c r="A120" s="75"/>
      <c r="B120" s="120"/>
      <c r="C120" s="114"/>
      <c r="D120" s="114"/>
      <c r="E120" s="114"/>
      <c r="F120" s="115"/>
      <c r="G120" s="114"/>
      <c r="H120" s="114"/>
      <c r="I120" s="114"/>
      <c r="J120" s="114"/>
      <c r="K120" s="114"/>
      <c r="L120" s="75"/>
      <c r="M120" s="75"/>
      <c r="N120" s="75"/>
      <c r="O120" s="75"/>
      <c r="P120" s="75"/>
      <c r="Q120" s="75"/>
      <c r="R120" s="75"/>
      <c r="S120" s="75"/>
      <c r="T120" s="75"/>
      <c r="U120" s="75"/>
      <c r="V120" s="75"/>
      <c r="W120" s="75"/>
    </row>
    <row r="121" spans="1:23" ht="15.75" thickTop="1">
      <c r="A121" s="75"/>
      <c r="B121" s="75"/>
      <c r="C121" s="75"/>
      <c r="D121" s="75"/>
      <c r="E121" s="75"/>
      <c r="F121" s="75"/>
      <c r="G121" s="75"/>
      <c r="H121" s="75"/>
      <c r="I121" s="75"/>
      <c r="J121" s="75"/>
      <c r="K121" s="75"/>
      <c r="L121" s="75"/>
      <c r="M121" s="75"/>
      <c r="N121" s="75"/>
      <c r="O121" s="75"/>
      <c r="P121" s="75"/>
      <c r="Q121" s="75"/>
      <c r="R121" s="75"/>
      <c r="S121" s="75"/>
      <c r="T121" s="75"/>
      <c r="U121" s="75"/>
      <c r="V121" s="75"/>
      <c r="W121" s="75"/>
    </row>
    <row r="122" spans="1:23" ht="15">
      <c r="A122" s="75"/>
      <c r="B122" s="75"/>
      <c r="C122" s="75"/>
      <c r="D122" s="75"/>
      <c r="E122" s="75"/>
      <c r="F122" s="75"/>
      <c r="G122" s="75"/>
      <c r="H122" s="75"/>
      <c r="I122" s="75"/>
      <c r="J122" s="75"/>
      <c r="K122" s="75"/>
      <c r="L122" s="75"/>
      <c r="M122" s="75"/>
      <c r="N122" s="75"/>
      <c r="O122" s="75"/>
      <c r="P122" s="75"/>
      <c r="Q122" s="75"/>
      <c r="R122" s="75"/>
      <c r="S122" s="75"/>
      <c r="T122" s="75"/>
      <c r="U122" s="75"/>
      <c r="V122" s="75"/>
      <c r="W122" s="75"/>
    </row>
    <row r="123" spans="1:23" ht="15">
      <c r="A123" s="75"/>
      <c r="B123" s="75"/>
      <c r="C123" s="75"/>
      <c r="D123" s="75"/>
      <c r="E123" s="75"/>
      <c r="F123" s="75"/>
      <c r="G123" s="75"/>
      <c r="H123" s="75"/>
      <c r="I123" s="75"/>
      <c r="J123" s="75"/>
      <c r="K123" s="75"/>
      <c r="L123" s="75"/>
      <c r="M123" s="75"/>
      <c r="N123" s="75"/>
      <c r="O123" s="75"/>
      <c r="P123" s="75"/>
      <c r="Q123" s="75"/>
      <c r="R123" s="75"/>
      <c r="S123" s="75"/>
      <c r="T123" s="75"/>
      <c r="U123" s="75"/>
      <c r="V123" s="75"/>
      <c r="W123" s="75"/>
    </row>
    <row r="124" spans="1:23" ht="15">
      <c r="A124" s="75"/>
      <c r="B124" s="75"/>
      <c r="C124" s="75"/>
      <c r="D124" s="75"/>
      <c r="E124" s="75"/>
      <c r="F124" s="75"/>
      <c r="G124" s="75"/>
      <c r="H124" s="75"/>
      <c r="I124" s="75"/>
      <c r="J124" s="75"/>
      <c r="K124" s="75"/>
      <c r="L124" s="75"/>
      <c r="M124" s="75"/>
      <c r="N124" s="75"/>
      <c r="O124" s="75"/>
      <c r="P124" s="75"/>
      <c r="Q124" s="75"/>
      <c r="R124" s="75"/>
      <c r="S124" s="75"/>
      <c r="T124" s="75"/>
      <c r="U124" s="75"/>
      <c r="V124" s="75"/>
      <c r="W124" s="75"/>
    </row>
    <row r="125" spans="1:23" ht="15">
      <c r="A125" s="75"/>
      <c r="B125" s="75"/>
      <c r="C125" s="75"/>
      <c r="D125" s="75"/>
      <c r="E125" s="75"/>
      <c r="F125" s="75"/>
      <c r="G125" s="75"/>
      <c r="H125" s="75"/>
      <c r="I125" s="75"/>
      <c r="J125" s="75"/>
      <c r="K125" s="75"/>
      <c r="L125" s="75"/>
      <c r="M125" s="75"/>
      <c r="N125" s="75"/>
      <c r="O125" s="75"/>
      <c r="P125" s="75"/>
      <c r="Q125" s="75"/>
      <c r="R125" s="75"/>
      <c r="S125" s="75"/>
      <c r="T125" s="75"/>
      <c r="U125" s="75"/>
      <c r="V125" s="75"/>
      <c r="W125" s="75"/>
    </row>
    <row r="126" spans="1:23" ht="15">
      <c r="A126" s="75"/>
      <c r="B126" s="75"/>
      <c r="C126" s="75"/>
      <c r="D126" s="75"/>
      <c r="E126" s="75"/>
      <c r="F126" s="75"/>
      <c r="G126" s="75"/>
      <c r="H126" s="75"/>
      <c r="I126" s="75"/>
      <c r="J126" s="75"/>
      <c r="K126" s="75"/>
      <c r="L126" s="75"/>
      <c r="M126" s="75"/>
      <c r="N126" s="75"/>
      <c r="O126" s="75"/>
      <c r="P126" s="75"/>
      <c r="Q126" s="75"/>
      <c r="R126" s="75"/>
      <c r="S126" s="75"/>
      <c r="T126" s="75"/>
      <c r="U126" s="75"/>
      <c r="V126" s="75"/>
      <c r="W126" s="75"/>
    </row>
    <row r="127" spans="1:23" ht="15">
      <c r="A127" s="75"/>
      <c r="B127" s="75"/>
      <c r="C127" s="75"/>
      <c r="D127" s="75"/>
      <c r="E127" s="75"/>
      <c r="F127" s="75"/>
      <c r="G127" s="75"/>
      <c r="H127" s="75"/>
      <c r="I127" s="75"/>
      <c r="J127" s="75"/>
      <c r="K127" s="75"/>
      <c r="L127" s="75"/>
      <c r="M127" s="75"/>
      <c r="N127" s="75"/>
      <c r="O127" s="75"/>
      <c r="P127" s="75"/>
      <c r="Q127" s="75"/>
      <c r="R127" s="75"/>
      <c r="S127" s="75"/>
      <c r="T127" s="75"/>
      <c r="U127" s="75"/>
      <c r="V127" s="75"/>
      <c r="W127" s="75"/>
    </row>
    <row r="128" spans="1:23" ht="15">
      <c r="A128" s="75"/>
      <c r="B128" s="75"/>
      <c r="C128" s="75"/>
      <c r="D128" s="75"/>
      <c r="E128" s="75"/>
      <c r="F128" s="75"/>
      <c r="G128" s="75"/>
      <c r="H128" s="75"/>
      <c r="I128" s="75"/>
      <c r="J128" s="75"/>
      <c r="K128" s="75"/>
      <c r="L128" s="75"/>
      <c r="M128" s="75"/>
      <c r="N128" s="75"/>
      <c r="O128" s="75"/>
      <c r="P128" s="75"/>
      <c r="Q128" s="75"/>
      <c r="R128" s="75"/>
      <c r="S128" s="75"/>
      <c r="T128" s="75"/>
      <c r="U128" s="75"/>
      <c r="V128" s="75"/>
      <c r="W128" s="75"/>
    </row>
    <row r="129" spans="1:23" ht="15">
      <c r="A129" s="75"/>
      <c r="B129" s="75"/>
      <c r="C129" s="75"/>
      <c r="D129" s="75"/>
      <c r="E129" s="75"/>
      <c r="F129" s="75"/>
      <c r="G129" s="75"/>
      <c r="H129" s="75"/>
      <c r="I129" s="75"/>
      <c r="J129" s="75"/>
      <c r="K129" s="75"/>
      <c r="L129" s="75"/>
      <c r="M129" s="75"/>
      <c r="N129" s="75"/>
      <c r="O129" s="75"/>
      <c r="P129" s="75"/>
      <c r="Q129" s="75"/>
      <c r="R129" s="75"/>
      <c r="S129" s="75"/>
      <c r="T129" s="75"/>
      <c r="U129" s="75"/>
      <c r="V129" s="75"/>
      <c r="W129" s="75"/>
    </row>
    <row r="130" spans="1:23" ht="15">
      <c r="A130" s="75"/>
      <c r="B130" s="75"/>
      <c r="C130" s="75"/>
      <c r="D130" s="75"/>
      <c r="E130" s="75"/>
      <c r="F130" s="75"/>
      <c r="G130" s="75"/>
      <c r="H130" s="75"/>
      <c r="I130" s="75"/>
      <c r="J130" s="75"/>
      <c r="K130" s="75"/>
      <c r="L130" s="75"/>
      <c r="M130" s="75"/>
      <c r="N130" s="75"/>
      <c r="O130" s="75"/>
      <c r="P130" s="75"/>
      <c r="Q130" s="75"/>
      <c r="R130" s="75"/>
      <c r="S130" s="75"/>
      <c r="T130" s="75"/>
      <c r="U130" s="75"/>
      <c r="V130" s="75"/>
      <c r="W130" s="75"/>
    </row>
    <row r="131" spans="1:23" ht="15">
      <c r="A131" s="75"/>
      <c r="B131" s="75"/>
      <c r="C131" s="75"/>
      <c r="D131" s="75"/>
      <c r="E131" s="75"/>
      <c r="F131" s="75"/>
      <c r="G131" s="75"/>
      <c r="H131" s="75"/>
      <c r="I131" s="75"/>
      <c r="J131" s="75"/>
      <c r="K131" s="75"/>
      <c r="L131" s="75"/>
      <c r="M131" s="75"/>
      <c r="N131" s="75"/>
      <c r="O131" s="75"/>
      <c r="P131" s="75"/>
      <c r="Q131" s="75"/>
      <c r="R131" s="75"/>
      <c r="S131" s="75"/>
      <c r="T131" s="75"/>
      <c r="U131" s="75"/>
      <c r="V131" s="75"/>
      <c r="W131" s="75"/>
    </row>
    <row r="132" spans="1:23" ht="15">
      <c r="A132" s="75"/>
      <c r="B132" s="75"/>
      <c r="C132" s="75"/>
      <c r="D132" s="75"/>
      <c r="E132" s="75"/>
      <c r="F132" s="75"/>
      <c r="G132" s="75"/>
      <c r="H132" s="75"/>
      <c r="I132" s="75"/>
      <c r="J132" s="75"/>
      <c r="K132" s="75"/>
      <c r="L132" s="75"/>
      <c r="M132" s="75"/>
      <c r="N132" s="75"/>
      <c r="O132" s="75"/>
      <c r="P132" s="75"/>
      <c r="Q132" s="75"/>
      <c r="R132" s="75"/>
      <c r="S132" s="75"/>
      <c r="T132" s="75"/>
      <c r="U132" s="75"/>
      <c r="V132" s="75"/>
      <c r="W132" s="75"/>
    </row>
    <row r="133" spans="1:23" ht="15">
      <c r="A133" s="64"/>
      <c r="L133" s="64"/>
      <c r="M133" s="64"/>
      <c r="N133" s="64"/>
      <c r="O133" s="64"/>
      <c r="P133" s="64"/>
      <c r="Q133" s="64"/>
      <c r="R133" s="64"/>
      <c r="S133" s="64"/>
      <c r="T133" s="64"/>
      <c r="U133" s="64"/>
      <c r="V133" s="64"/>
      <c r="W133" s="64"/>
    </row>
    <row r="134" spans="1:23" ht="15">
      <c r="A134" s="64"/>
      <c r="L134" s="64"/>
      <c r="M134" s="64"/>
      <c r="N134" s="64"/>
      <c r="O134" s="64"/>
      <c r="P134" s="64"/>
      <c r="Q134" s="64"/>
      <c r="R134" s="64"/>
      <c r="S134" s="64"/>
      <c r="T134" s="64"/>
      <c r="U134" s="64"/>
      <c r="V134" s="64"/>
      <c r="W134" s="64"/>
    </row>
    <row r="135" spans="1:23" ht="15">
      <c r="A135" s="64"/>
      <c r="L135" s="64"/>
      <c r="M135" s="64"/>
      <c r="N135" s="64"/>
      <c r="O135" s="64"/>
      <c r="P135" s="64"/>
      <c r="Q135" s="64"/>
      <c r="R135" s="64"/>
      <c r="S135" s="64"/>
      <c r="T135" s="64"/>
      <c r="U135" s="64"/>
      <c r="V135" s="64"/>
      <c r="W135" s="64"/>
    </row>
    <row r="136" spans="1:23" ht="15">
      <c r="A136" s="64"/>
      <c r="L136" s="64"/>
      <c r="M136" s="64"/>
      <c r="N136" s="64"/>
      <c r="O136" s="64"/>
      <c r="P136" s="64"/>
      <c r="Q136" s="64"/>
      <c r="R136" s="64"/>
      <c r="S136" s="64"/>
      <c r="T136" s="64"/>
      <c r="U136" s="64"/>
      <c r="V136" s="64"/>
      <c r="W136" s="64"/>
    </row>
    <row r="137" spans="1:23" ht="15">
      <c r="A137" s="64"/>
      <c r="L137" s="64"/>
      <c r="M137" s="64"/>
      <c r="N137" s="64"/>
      <c r="O137" s="64"/>
      <c r="P137" s="64"/>
      <c r="Q137" s="64"/>
      <c r="R137" s="64"/>
      <c r="S137" s="64"/>
      <c r="T137" s="64"/>
      <c r="U137" s="64"/>
      <c r="V137" s="64"/>
      <c r="W137" s="64"/>
    </row>
    <row r="138" spans="1:23" ht="15">
      <c r="A138" s="64"/>
      <c r="L138" s="64"/>
      <c r="M138" s="64"/>
      <c r="N138" s="64"/>
      <c r="O138" s="64"/>
      <c r="P138" s="64"/>
      <c r="Q138" s="64"/>
      <c r="R138" s="64"/>
      <c r="S138" s="64"/>
      <c r="T138" s="64"/>
      <c r="U138" s="64"/>
      <c r="V138" s="64"/>
      <c r="W138" s="64"/>
    </row>
    <row r="139" spans="1:23" ht="15">
      <c r="A139" s="64"/>
      <c r="L139" s="64"/>
      <c r="M139" s="64"/>
      <c r="N139" s="64"/>
      <c r="O139" s="64"/>
      <c r="P139" s="64"/>
      <c r="Q139" s="64"/>
      <c r="R139" s="64"/>
      <c r="S139" s="64"/>
      <c r="T139" s="64"/>
      <c r="U139" s="64"/>
      <c r="V139" s="64"/>
      <c r="W139" s="64"/>
    </row>
    <row r="140" spans="1:23" ht="15">
      <c r="A140" s="64"/>
      <c r="L140" s="64"/>
      <c r="M140" s="64"/>
      <c r="N140" s="64"/>
      <c r="O140" s="64"/>
      <c r="P140" s="64"/>
      <c r="Q140" s="64"/>
      <c r="R140" s="64"/>
      <c r="S140" s="64"/>
      <c r="T140" s="64"/>
      <c r="U140" s="64"/>
      <c r="V140" s="64"/>
      <c r="W140" s="64"/>
    </row>
    <row r="141" spans="1:23" ht="15">
      <c r="A141" s="64"/>
      <c r="L141" s="64"/>
      <c r="M141" s="64"/>
      <c r="N141" s="64"/>
      <c r="O141" s="64"/>
      <c r="P141" s="64"/>
      <c r="Q141" s="64"/>
      <c r="R141" s="64"/>
      <c r="S141" s="64"/>
      <c r="T141" s="64"/>
      <c r="U141" s="64"/>
      <c r="V141" s="64"/>
      <c r="W141" s="64"/>
    </row>
    <row r="142" spans="1:23" ht="15">
      <c r="A142" s="64"/>
      <c r="L142" s="64"/>
      <c r="M142" s="64"/>
      <c r="N142" s="64"/>
      <c r="O142" s="64"/>
      <c r="P142" s="64"/>
      <c r="Q142" s="64"/>
      <c r="R142" s="64"/>
      <c r="S142" s="64"/>
      <c r="T142" s="64"/>
      <c r="U142" s="64"/>
      <c r="V142" s="64"/>
      <c r="W142" s="64"/>
    </row>
    <row r="143" spans="1:23" ht="15">
      <c r="A143" s="64"/>
      <c r="L143" s="64"/>
      <c r="M143" s="64"/>
      <c r="N143" s="64"/>
      <c r="O143" s="64"/>
      <c r="P143" s="64"/>
      <c r="Q143" s="64"/>
      <c r="R143" s="64"/>
      <c r="S143" s="64"/>
      <c r="T143" s="64"/>
      <c r="U143" s="64"/>
      <c r="V143" s="64"/>
      <c r="W143" s="64"/>
    </row>
    <row r="144" spans="1:23" ht="15">
      <c r="A144" s="64"/>
      <c r="L144" s="64"/>
      <c r="M144" s="64"/>
      <c r="N144" s="64"/>
      <c r="O144" s="64"/>
      <c r="P144" s="64"/>
      <c r="Q144" s="64"/>
      <c r="R144" s="64"/>
      <c r="S144" s="64"/>
      <c r="T144" s="64"/>
      <c r="U144" s="64"/>
      <c r="V144" s="64"/>
      <c r="W144" s="64"/>
    </row>
    <row r="145" spans="1:23" ht="15">
      <c r="A145" s="64"/>
      <c r="L145" s="64"/>
      <c r="M145" s="64"/>
      <c r="N145" s="64"/>
      <c r="O145" s="64"/>
      <c r="P145" s="64"/>
      <c r="Q145" s="64"/>
      <c r="R145" s="64"/>
      <c r="S145" s="64"/>
      <c r="T145" s="64"/>
      <c r="U145" s="64"/>
      <c r="V145" s="64"/>
      <c r="W145" s="64"/>
    </row>
    <row r="146" spans="1:23" ht="15">
      <c r="A146" s="64"/>
      <c r="L146" s="64"/>
      <c r="M146" s="64"/>
      <c r="N146" s="64"/>
      <c r="O146" s="64"/>
      <c r="P146" s="64"/>
      <c r="Q146" s="64"/>
      <c r="R146" s="64"/>
      <c r="S146" s="64"/>
      <c r="T146" s="64"/>
      <c r="U146" s="64"/>
      <c r="V146" s="64"/>
      <c r="W146" s="64"/>
    </row>
    <row r="147" spans="1:23" ht="15">
      <c r="A147" s="64"/>
      <c r="L147" s="64"/>
      <c r="M147" s="64"/>
      <c r="N147" s="64"/>
      <c r="O147" s="64"/>
      <c r="P147" s="64"/>
      <c r="Q147" s="64"/>
      <c r="R147" s="64"/>
      <c r="S147" s="64"/>
      <c r="T147" s="64"/>
      <c r="U147" s="64"/>
      <c r="V147" s="64"/>
      <c r="W147" s="64"/>
    </row>
    <row r="148" spans="1:23" ht="15">
      <c r="A148" s="64"/>
      <c r="L148" s="64"/>
      <c r="M148" s="64"/>
      <c r="N148" s="64"/>
      <c r="O148" s="64"/>
      <c r="P148" s="64"/>
      <c r="Q148" s="64"/>
      <c r="R148" s="64"/>
      <c r="S148" s="64"/>
      <c r="T148" s="64"/>
      <c r="U148" s="64"/>
      <c r="V148" s="64"/>
      <c r="W148" s="64"/>
    </row>
    <row r="149" spans="1:23" ht="15">
      <c r="A149" s="64"/>
      <c r="L149" s="64"/>
      <c r="M149" s="64"/>
      <c r="N149" s="64"/>
      <c r="O149" s="64"/>
      <c r="P149" s="64"/>
      <c r="Q149" s="64"/>
      <c r="R149" s="64"/>
      <c r="S149" s="64"/>
      <c r="T149" s="64"/>
      <c r="U149" s="64"/>
      <c r="V149" s="64"/>
      <c r="W149" s="64"/>
    </row>
    <row r="150" spans="1:23" ht="15">
      <c r="A150" s="64"/>
      <c r="L150" s="64"/>
      <c r="M150" s="64"/>
      <c r="N150" s="64"/>
      <c r="O150" s="64"/>
      <c r="P150" s="64"/>
      <c r="Q150" s="64"/>
      <c r="R150" s="64"/>
      <c r="S150" s="64"/>
      <c r="T150" s="64"/>
      <c r="U150" s="64"/>
      <c r="V150" s="64"/>
      <c r="W150" s="64"/>
    </row>
    <row r="151" spans="1:23" ht="15">
      <c r="A151" s="64"/>
      <c r="L151" s="64"/>
      <c r="M151" s="64"/>
      <c r="N151" s="64"/>
      <c r="O151" s="64"/>
      <c r="P151" s="64"/>
      <c r="Q151" s="64"/>
      <c r="R151" s="64"/>
      <c r="S151" s="64"/>
      <c r="T151" s="64"/>
      <c r="U151" s="64"/>
      <c r="V151" s="64"/>
      <c r="W151" s="64"/>
    </row>
    <row r="152" spans="1:23" ht="15">
      <c r="A152" s="64"/>
      <c r="L152" s="64"/>
      <c r="M152" s="64"/>
      <c r="N152" s="64"/>
      <c r="O152" s="64"/>
      <c r="P152" s="64"/>
      <c r="Q152" s="64"/>
      <c r="R152" s="64"/>
      <c r="S152" s="64"/>
      <c r="T152" s="64"/>
      <c r="U152" s="64"/>
      <c r="V152" s="64"/>
      <c r="W152" s="64"/>
    </row>
    <row r="153" spans="1:23" ht="15">
      <c r="A153" s="64"/>
      <c r="L153" s="64"/>
      <c r="M153" s="64"/>
      <c r="N153" s="64"/>
      <c r="O153" s="64"/>
      <c r="P153" s="64"/>
      <c r="Q153" s="64"/>
      <c r="R153" s="64"/>
      <c r="S153" s="64"/>
      <c r="T153" s="64"/>
      <c r="U153" s="64"/>
      <c r="V153" s="64"/>
      <c r="W153" s="64"/>
    </row>
    <row r="154" spans="1:23" ht="15">
      <c r="A154" s="64"/>
      <c r="L154" s="64"/>
      <c r="M154" s="64"/>
      <c r="N154" s="64"/>
      <c r="O154" s="64"/>
      <c r="P154" s="64"/>
      <c r="Q154" s="64"/>
      <c r="R154" s="64"/>
      <c r="S154" s="64"/>
      <c r="T154" s="64"/>
      <c r="U154" s="64"/>
      <c r="V154" s="64"/>
      <c r="W154" s="64"/>
    </row>
    <row r="155" spans="1:23" ht="15">
      <c r="A155" s="64"/>
      <c r="L155" s="64"/>
      <c r="M155" s="64"/>
      <c r="N155" s="64"/>
      <c r="O155" s="64"/>
      <c r="P155" s="64"/>
      <c r="Q155" s="64"/>
      <c r="R155" s="64"/>
      <c r="S155" s="64"/>
      <c r="T155" s="64"/>
      <c r="U155" s="64"/>
      <c r="V155" s="64"/>
      <c r="W155" s="64"/>
    </row>
    <row r="156" spans="1:23" ht="15">
      <c r="A156" s="64"/>
      <c r="L156" s="64"/>
      <c r="M156" s="64"/>
      <c r="N156" s="64"/>
      <c r="O156" s="64"/>
      <c r="P156" s="64"/>
      <c r="Q156" s="64"/>
      <c r="R156" s="64"/>
      <c r="S156" s="64"/>
      <c r="T156" s="64"/>
      <c r="U156" s="64"/>
      <c r="V156" s="64"/>
      <c r="W156" s="64"/>
    </row>
    <row r="157" spans="1:23" ht="15">
      <c r="A157" s="64"/>
      <c r="L157" s="64"/>
      <c r="M157" s="64"/>
      <c r="N157" s="64"/>
      <c r="O157" s="64"/>
      <c r="P157" s="64"/>
      <c r="Q157" s="64"/>
      <c r="R157" s="64"/>
      <c r="S157" s="64"/>
      <c r="T157" s="64"/>
      <c r="U157" s="64"/>
      <c r="V157" s="64"/>
      <c r="W157" s="64"/>
    </row>
    <row r="158" spans="1:23" ht="15">
      <c r="A158" s="64"/>
      <c r="L158" s="64"/>
      <c r="M158" s="64"/>
      <c r="N158" s="64"/>
      <c r="O158" s="64"/>
      <c r="P158" s="64"/>
      <c r="Q158" s="64"/>
      <c r="R158" s="64"/>
      <c r="S158" s="64"/>
      <c r="T158" s="64"/>
      <c r="U158" s="64"/>
      <c r="V158" s="64"/>
      <c r="W158" s="64"/>
    </row>
    <row r="159" spans="1:23" ht="15">
      <c r="A159" s="64"/>
      <c r="L159" s="64"/>
      <c r="M159" s="64"/>
      <c r="N159" s="64"/>
      <c r="O159" s="64"/>
      <c r="P159" s="64"/>
      <c r="Q159" s="64"/>
      <c r="R159" s="64"/>
      <c r="S159" s="64"/>
      <c r="T159" s="64"/>
      <c r="U159" s="64"/>
      <c r="V159" s="64"/>
      <c r="W159" s="64"/>
    </row>
    <row r="160" spans="1:23" ht="15">
      <c r="A160" s="64"/>
      <c r="L160" s="64"/>
      <c r="M160" s="64"/>
      <c r="N160" s="64"/>
      <c r="O160" s="64"/>
      <c r="P160" s="64"/>
      <c r="Q160" s="64"/>
      <c r="R160" s="64"/>
      <c r="S160" s="64"/>
      <c r="T160" s="64"/>
      <c r="U160" s="64"/>
      <c r="V160" s="64"/>
      <c r="W160" s="64"/>
    </row>
    <row r="161" spans="1:23" ht="15">
      <c r="A161" s="64"/>
      <c r="L161" s="64"/>
      <c r="M161" s="64"/>
      <c r="N161" s="64"/>
      <c r="O161" s="64"/>
      <c r="P161" s="64"/>
      <c r="Q161" s="64"/>
      <c r="R161" s="64"/>
      <c r="S161" s="64"/>
      <c r="T161" s="64"/>
      <c r="U161" s="64"/>
      <c r="V161" s="64"/>
      <c r="W161" s="64"/>
    </row>
    <row r="162" spans="1:23" ht="15">
      <c r="A162" s="64"/>
      <c r="L162" s="64"/>
      <c r="M162" s="64"/>
      <c r="N162" s="64"/>
      <c r="O162" s="64"/>
      <c r="P162" s="64"/>
      <c r="Q162" s="64"/>
      <c r="R162" s="64"/>
      <c r="S162" s="64"/>
      <c r="T162" s="64"/>
      <c r="U162" s="64"/>
      <c r="V162" s="64"/>
      <c r="W162" s="64"/>
    </row>
  </sheetData>
  <sheetProtection sheet="1" objects="1" scenarios="1" selectLockedCells="1"/>
  <mergeCells count="5">
    <mergeCell ref="C2:H2"/>
    <mergeCell ref="C7:E7"/>
    <mergeCell ref="D10:E10"/>
    <mergeCell ref="D9:E9"/>
    <mergeCell ref="D8:E8"/>
  </mergeCells>
  <dataValidations count="71">
    <dataValidation type="list" allowBlank="1" showInputMessage="1" showErrorMessage="1" sqref="C30">
      <formula1>$Q$8:$Q$15</formula1>
    </dataValidation>
    <dataValidation allowBlank="1" showInputMessage="1" showErrorMessage="1" prompt="The default tonnage is calculated from the hospital info box above. Override the estimated default value if good quality hospital specific data is available. Resource Efficient Scotland maintain a Food Waste Methodology and Data Capture Sheet to help. " sqref="G13"/>
    <dataValidation allowBlank="1" showInputMessage="1" showErrorMessage="1" prompt="Click on the blue cell and choose the pre-treatment option from the drop down list. For an explanation of pre-treatment options refer to the tab: &quot;Ref 1 Pre-treatment&quot;" sqref="G30"/>
    <dataValidation allowBlank="1" showInputMessage="1" showErrorMessage="1" prompt="Please enter the average number of occupied beds in the hospital. This information is only used to calculate the default food waste arising below and is not required if the food waste arising has been measured. " sqref="G9"/>
    <dataValidation allowBlank="1" showInputMessage="1" showErrorMessage="1" prompt="Click on the blue box and use the drop down menu to choose the method of meal preparation. This is only used to calculate the default food waste arising below. It is not required if the food waste arising has been measured. " sqref="G10"/>
    <dataValidation allowBlank="1" showInputMessage="1" showErrorMessage="1" prompt="The processing time is the time which the pre-treatment equipment is running for. It only affects the electrical and water use calculations, in addition to the labour requirement value. " sqref="G96"/>
    <dataValidation allowBlank="1" showInputMessage="1" showErrorMessage="1" prompt="The total number of operatives required to staff the existing scenario should include feeding waste to the system (inc production waste). Labour associated with maintenance should not be included here. " sqref="G97"/>
    <dataValidation allowBlank="1" showInputMessage="1" showErrorMessage="1" prompt="The equipment cost (capex) needs to cover all pre-treatment, and include the cost of bins if this cost is not covered by the collection company. " sqref="G38"/>
    <dataValidation allowBlank="1" showInputMessage="1" showErrorMessage="1" prompt="The cost of installation is considered as capex in the financial calculations. " sqref="G39"/>
    <dataValidation allowBlank="1" showInputMessage="1" showErrorMessage="1" prompt="Maintenance costs should include parts. It should also include labour costs which are not part of the labour requirement above. " sqref="G40 G100"/>
    <dataValidation allowBlank="1" showInputMessage="1" showErrorMessage="1" prompt="The electrical power rating should cover all of the pre-treatment system including any vaccum pumps, dewatering units, macerators etc. " sqref="G41 G101"/>
    <dataValidation allowBlank="1" showInputMessage="1" showErrorMessage="1" prompt="The water use specified here should cover all of the pre-treatment system including any vaccum pumps, dewatering units, macerators etc. The units are litres of water used per hour of operation. " sqref="G42 G102"/>
    <dataValidation allowBlank="1" showInputMessage="1" showErrorMessage="1" prompt="The percentage of the fresh weight (whole weight) of food being treated which is sent to sewer (or atmosphere for thermal systems - type E and F). This is different to the %moisture of the food waste. Do not enter a percentage sign. " sqref="G43"/>
    <dataValidation allowBlank="1" showInputMessage="1" showErrorMessage="1" prompt="Please click on the blue cell and use the drop down menu to choose which future treatment type should be applied to the waste which is output from the pre-treatment system. " sqref="G49"/>
    <dataValidation allowBlank="1" showInputMessage="1" showErrorMessage="1" prompt="The combined collection and disposal cost. This should include the cost of collection, gate fees and any necessary taxes. " sqref="G106"/>
    <dataValidation allowBlank="1" showInputMessage="1" showErrorMessage="1" prompt="The collection labour requirement for the hospital should include the time taken to put any bins out for collection." sqref="G53"/>
    <dataValidation allowBlank="1" showInputMessage="1" showErrorMessage="1" prompt="On-site equipment cost should be left blank if either of the off-site treatment scenarios have been selected. &#10;" sqref="G57"/>
    <dataValidation allowBlank="1" showInputMessage="1" showErrorMessage="1" prompt="On-site equipment installation cost should be left blank if either of the off-site treatment scenarios have been selected. This parameter is considered as capex in the financial calculations. &#10;" sqref="G58"/>
    <dataValidation allowBlank="1" showInputMessage="1" showErrorMessage="1" prompt="On-site maintenance should be left blank if either of the off-site treatment scenarios have been selected. &#10;" sqref="G59"/>
    <dataValidation allowBlank="1" showInputMessage="1" showErrorMessage="1" prompt="On-site consumables should be left blank if either of the off-site treatment scenarios have been selected. &#10;" sqref="G60"/>
    <dataValidation allowBlank="1" showInputMessage="1" showErrorMessage="1" prompt="Income from the sale of compost or digestate should be left blank if either of the off-site treatment scenarios have been selected. Negative figures can be inserted here if there are costs instead of income.e.g. to transport product to market. &#10;" sqref="G63"/>
    <dataValidation allowBlank="1" showInputMessage="1" showErrorMessage="1" prompt="The labour requirement specified here should cover the running of any on-site AD or IVC treatment system.  This should be left blank if either of the off-site treatment scenarios are selected. &#10;" sqref="G64"/>
    <dataValidation allowBlank="1" showInputMessage="1" showErrorMessage="1" prompt="Loss of mass through the treatment process should not include the pre-treatment section and should only include any on-site IVC or AD system. Losses for IVC will be considerably higher than in most AD systems. &#10;Do not enter a percentage sign. " sqref="G65"/>
    <dataValidation allowBlank="1" showInputMessage="1" showErrorMessage="1" prompt="This section should be left blank unless on-site AD has been selected as the chosen future treatment scenario. &#10;&#10;This information should be provided by an AD supplier. " sqref="G72"/>
    <dataValidation allowBlank="1" showInputMessage="1" showErrorMessage="1" prompt="The amount of useful electrical energy that is produced by the AD system that can be used on-site, or exported to the grid. This depends on the technology used and the data can be obtained from your technology provider. " sqref="G73"/>
    <dataValidation allowBlank="1" showInputMessage="1" showErrorMessage="1" prompt="The useful heat (thermal) energy produced by the system that can be used on site. This depends on the technology used and the data can be obtained from your technology provider. " sqref="G74"/>
    <dataValidation allowBlank="1" showInputMessage="1" showErrorMessage="1" prompt="This is the value of the feed-in-tariff government subsidy for the generation of electrcity. The default value always assumes the plant is lower than 250kW electrical output. " sqref="G75"/>
    <dataValidation allowBlank="1" showInputMessage="1" showErrorMessage="1" prompt="The value of electricity which is sold to the grid. If the electricity is used on-site rather than sold then enter the avoided cost of the electricity. Note, the income specified in the outputs will then include money saved rather than real income. " sqref="G76"/>
    <dataValidation allowBlank="1" showInputMessage="1" showErrorMessage="1" prompt="Renewable heat incentive. This is the value of the subsidy for renewable heat generation. " sqref="G77"/>
    <dataValidation allowBlank="1" showInputMessage="1" showErrorMessage="1" prompt="This payment is made for the use of renewable electricity where the climate change levy would have otherwise be charged. " sqref="G78"/>
    <dataValidation allowBlank="1" showInputMessage="1" showErrorMessage="1" prompt="Insert any additional capex in here to cover items not accounted for above. This will be applied to the first year of operating. Include a name for the expenditure to the left. " sqref="G80 G113"/>
    <dataValidation allowBlank="1" showInputMessage="1" showErrorMessage="1" prompt="If you wish to model an existing scenario, use the drop down menu to choose the foodwaste disposal method. This will be used to compare with the future scenario. Answers provided in this cream coloured section will not affect the future scenario results. " sqref="G92"/>
    <dataValidation allowBlank="1" showInputMessage="1" showErrorMessage="1" prompt="Insert any additional opex in here to cover items not accounted for above. This will be applied to each year of operation. Include a name for the expenditure to the left. " sqref="G84 G117"/>
    <dataValidation allowBlank="1" showInputMessage="1" showErrorMessage="1" prompt="The percentage of the fresh weight of food being treated which is sent to sewer here. Do not enter a percentage sign. " sqref="G103"/>
    <dataValidation allowBlank="1" showInputMessage="1" showErrorMessage="1" prompt="The equipment cost has to cover all pre-treatment,  the cost of bins if this cost is not covered by the collection company. Even if the equipment still has some working life remaining the full capex cost should be entered. " sqref="G98"/>
    <dataValidation allowBlank="1" showInputMessage="1" showErrorMessage="1" prompt="The cost of installation is considered as capex in the financial calculations. The installation cost should be entered in full, even if equipment has already been installed. " sqref="G99"/>
    <dataValidation allowBlank="1" showInputMessage="1" showErrorMessage="1" prompt="The cost of fresh water per litre.  " sqref="G16"/>
    <dataValidation allowBlank="1" showInputMessage="1" showErrorMessage="1" prompt="The cost of electricity per kWh that is bought from the grid, or generated on site if appropriate. " sqref="G17"/>
    <dataValidation allowBlank="1" showInputMessage="1" showErrorMessage="1" prompt="The default of zero means that no change to the sewerage cost will ocurr when a new system is implemented. Override with appropriate value if any change to the sewerage bill may occur .i.e if sewerage is metered and Scottish Water will be consulted.  " sqref="G23"/>
    <dataValidation allowBlank="1" showInputMessage="1" showErrorMessage="1" prompt="NB, this is not Monday to Friday, this is the number of operational days for the hospital when food waste will be generated and waste operations will occur. " sqref="G24"/>
    <dataValidation allowBlank="1" showInputMessage="1" showErrorMessage="1" prompt="The hospital information section is used only to calculate the default food waste arising (tonnes/annum). The calculation is based on an assumption of food waste tonnage per bed with an adjustment factor for cooking method. " sqref="G7"/>
    <dataValidation allowBlank="1" showInputMessage="1" showErrorMessage="1" prompt="Questions in this section affect both the future and existing scenarios. " sqref="G15"/>
    <dataValidation allowBlank="1" showInputMessage="1" showErrorMessage="1" prompt="The hourly wage for managing the estates operatives who operate any on site treatment processes. " sqref="G21"/>
    <dataValidation allowBlank="1" showInputMessage="1" showErrorMessage="1" prompt="The hourly wage for external consultancy support. " sqref="G22"/>
    <dataValidation allowBlank="1" showInputMessage="1" showErrorMessage="1" prompt="This is the total no. of operatives required in pre-treatment and  should cover all the pre-treatment units. Duties include feeding food waste (inc production waste) into the system. Labour associated with maintenance should not be included here. " sqref="G36"/>
    <dataValidation allowBlank="1" showInputMessage="1" showErrorMessage="1" prompt="The management requirement specified here should cover overseeing any on-site AD or IVC treatment system.  This should be left blank if either of the off-site treatment scenarios are selected. &#10;" sqref="G68"/>
    <dataValidation allowBlank="1" showInputMessage="1" showErrorMessage="1" prompt="The professional support requirement specified here should cover any annual consultancy support such as biannual site visits for on site treatment.  This should be left blank if either of the off-site treatment scenarios are selected. &#10;" sqref="G70"/>
    <dataValidation allowBlank="1" showInputMessage="1" showErrorMessage="1" prompt="On-site water use in treatment should be left blank if either of the off-site treatment scenarios have been selected. &#10;" sqref="G62"/>
    <dataValidation allowBlank="1" showInputMessage="1" showErrorMessage="1" prompt="The collection management requirement for the hospital should include the time taken organise waste collections etc. " sqref="G110"/>
    <dataValidation allowBlank="1" showInputMessage="1" showErrorMessage="1" prompt="The professional support specified here should cover any up front costs for PAS110/100 support, regulatory complience, planning, procurement etc. This is applied to year 1 capex. Leave blank if either of the off-site treatment scenarios are selected. &#10;" sqref="G69"/>
    <dataValidation allowBlank="1" showInputMessage="1" showErrorMessage="1" prompt="The number of multiples of the whole system you require. This number will be multiplied by the unit costs of capex, installation, maintenance, electical power and water use shown below. For no-pre treatment (E) write&quot;1&quot; for calculation purposes. " sqref="G33"/>
    <dataValidation allowBlank="1" showInputMessage="1" showErrorMessage="1" prompt="The professional support requirement specified here should cover any annual consultancy support.  &#10;&#10;" sqref="G111"/>
    <dataValidation allowBlank="1" showInputMessage="1" showErrorMessage="1" prompt="The combined collection and disposal cost is based per bin lift or tank of the size specified above. This should cover any transport costs, gate fees and relevent taxes where necessary.&#10;" sqref="G52"/>
    <dataValidation allowBlank="1" showInputMessage="1" showErrorMessage="1" prompt="This is the density of the food waste (solids in a dewatering unit) which needs to be collected. " sqref="G44"/>
    <dataValidation allowBlank="1" showInputMessage="1" showErrorMessage="1" prompt="This is the size of the tank or bins which are used to collect the waste. This is then multiplied by a cost per empty (cost per lift) to obtain the total collection cost. " sqref="G45"/>
    <dataValidation allowBlank="1" showInputMessage="1" showErrorMessage="1" prompt="The hourly wage for workers in the catering and portering sections. i.e. those who scrape plates, wash up, put out bins etc." sqref="G18"/>
    <dataValidation allowBlank="1" showInputMessage="1" showErrorMessage="1" prompt="The hourly wage for workers running on site treatment systems such as IVC or AD. This is not the same job as the catering operatives who work around the kitchen. " sqref="G20"/>
    <dataValidation allowBlank="1" showInputMessage="1" showErrorMessage="1" prompt="The hourly wage for managers of the catering and portering operatives detailed above. " sqref="G19"/>
    <dataValidation allowBlank="1" showInputMessage="1" showErrorMessage="1" prompt="This is the management time required to oversee the operation of the pre-treatment and the collection of waste. " sqref="G37"/>
    <dataValidation allowBlank="1" showInputMessage="1" showErrorMessage="1" prompt="Number of units  can be varied if more than one macerator is being used. If the option for disposing of food waste mixed in general waste is selected then the number of units here should be written as 1. " sqref="G95"/>
    <dataValidation allowBlank="1" showInputMessage="1" showErrorMessage="1" prompt="The collection labour requirement for the hospital should include the time taken to put any bins out for collection. This excludes internal movement of waste i.e. moving waste from wards to central point. " sqref="G107"/>
    <dataValidation allowBlank="1" showInputMessage="1" showErrorMessage="1" prompt="Assumes runnning 24/7 - electricity used is bought from the grid and then any generated is exported to grid as renewable electricity. " sqref="G61"/>
    <dataValidation allowBlank="1" showInputMessage="1" showErrorMessage="1" prompt="The number of IVC or AD units.&#10;" sqref="G56"/>
    <dataValidation allowBlank="1" showInputMessage="1" showErrorMessage="1" prompt="The percentage of full that a bin or tank is before it is emptied. This affects the collection cost. " sqref="G46"/>
    <dataValidation allowBlank="1" showInputMessage="1" showErrorMessage="1" prompt="The hospital name is used only for clarity on the outputs sheet. " sqref="G8"/>
    <dataValidation allowBlank="1" showInputMessage="1" showErrorMessage="1" prompt="The operating time is the time which the pre-treatment equipment being used by an operative. It only affects the labour requirement value. Time is required even for &quot;No pre-treatment plus bins&quot; to fill bins. " sqref="G35"/>
    <dataValidation allowBlank="1" showInputMessage="1" showErrorMessage="1" prompt="This rate is the amount applied to the net present value calculation to find the present value of capex and opex over the following years. " sqref="G25:G27"/>
    <dataValidation type="list" allowBlank="1" showInputMessage="1" showErrorMessage="1" sqref="C49">
      <formula1>$Q$18:$Q$22</formula1>
    </dataValidation>
    <dataValidation type="list" allowBlank="1" showInputMessage="1" showErrorMessage="1" sqref="C92">
      <formula1>$Q$25:$Q$27</formula1>
    </dataValidation>
    <dataValidation type="list" allowBlank="1" showInputMessage="1" showErrorMessage="1" sqref="D10">
      <formula1>$Q$30:$Q$32</formula1>
    </dataValidation>
    <dataValidation allowBlank="1" showInputMessage="1" showErrorMessage="1" prompt="The processing time is the time which the pre-treatment equipment is running for. It affects the electrical and water use calculations in addition to the sizing of equipment. Time is required even for &quot;No pre-treatment plus bins&quot;." sqref="G34"/>
  </dataValidation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tabColor theme="5" tint="0.5999900102615356"/>
  </sheetPr>
  <dimension ref="A1:M53"/>
  <sheetViews>
    <sheetView zoomScalePageLayoutView="0" workbookViewId="0" topLeftCell="A1">
      <selection activeCell="C3" sqref="C3:D3"/>
    </sheetView>
  </sheetViews>
  <sheetFormatPr defaultColWidth="9.140625" defaultRowHeight="15"/>
  <cols>
    <col min="2" max="2" width="2.8515625" style="0" customWidth="1"/>
    <col min="3" max="3" width="33.28125" style="0" bestFit="1" customWidth="1"/>
    <col min="4" max="4" width="48.28125" style="0" customWidth="1"/>
    <col min="6" max="6" width="33.28125" style="0" bestFit="1" customWidth="1"/>
    <col min="7" max="7" width="36.8515625" style="0" customWidth="1"/>
  </cols>
  <sheetData>
    <row r="1" spans="1:13" ht="15">
      <c r="A1" s="75"/>
      <c r="B1" s="75"/>
      <c r="C1" s="75"/>
      <c r="D1" s="75"/>
      <c r="E1" s="75"/>
      <c r="F1" s="75"/>
      <c r="G1" s="75"/>
      <c r="H1" s="75"/>
      <c r="I1" s="75"/>
      <c r="J1" s="75"/>
      <c r="K1" s="75"/>
      <c r="L1" s="75"/>
      <c r="M1" s="75"/>
    </row>
    <row r="2" spans="1:13" ht="26.25">
      <c r="A2" s="75"/>
      <c r="B2" s="75"/>
      <c r="C2" s="239" t="str">
        <f>Inputs!C2</f>
        <v>Resource Efficient Scotland - Hospital food waste disposal calculator </v>
      </c>
      <c r="D2" s="239"/>
      <c r="E2" s="239"/>
      <c r="F2" s="239"/>
      <c r="G2" s="239"/>
      <c r="H2" s="76"/>
      <c r="I2" s="76"/>
      <c r="J2" s="76"/>
      <c r="K2" s="76"/>
      <c r="L2" s="76"/>
      <c r="M2" s="76"/>
    </row>
    <row r="3" spans="1:13" ht="21">
      <c r="A3" s="75"/>
      <c r="B3" s="75"/>
      <c r="C3" s="240" t="s">
        <v>138</v>
      </c>
      <c r="D3" s="240"/>
      <c r="E3" s="75"/>
      <c r="F3" s="75"/>
      <c r="G3" s="75"/>
      <c r="H3" s="75"/>
      <c r="I3" s="75"/>
      <c r="J3" s="75"/>
      <c r="K3" s="75"/>
      <c r="L3" s="75"/>
      <c r="M3" s="75"/>
    </row>
    <row r="4" spans="1:13" ht="15">
      <c r="A4" s="75"/>
      <c r="B4" s="75"/>
      <c r="C4" s="255" t="s">
        <v>168</v>
      </c>
      <c r="D4" s="255"/>
      <c r="E4" s="255"/>
      <c r="F4" s="255"/>
      <c r="G4" s="255"/>
      <c r="H4" s="75"/>
      <c r="I4" s="75"/>
      <c r="J4" s="75"/>
      <c r="K4" s="75"/>
      <c r="L4" s="75"/>
      <c r="M4" s="75"/>
    </row>
    <row r="5" spans="1:13" ht="15.75" thickBot="1">
      <c r="A5" s="75"/>
      <c r="B5" s="75"/>
      <c r="C5" s="255"/>
      <c r="D5" s="255"/>
      <c r="E5" s="255"/>
      <c r="F5" s="255"/>
      <c r="G5" s="255"/>
      <c r="H5" s="75"/>
      <c r="I5" s="75"/>
      <c r="J5" s="75"/>
      <c r="K5" s="75"/>
      <c r="L5" s="75"/>
      <c r="M5" s="75"/>
    </row>
    <row r="6" spans="1:13" ht="15.75" thickBot="1">
      <c r="A6" s="75"/>
      <c r="B6" s="75"/>
      <c r="C6" s="172" t="s">
        <v>297</v>
      </c>
      <c r="D6" s="271" t="str">
        <f>IF(Inputs!D8="","Not specified",Inputs!D8)</f>
        <v>Not specified</v>
      </c>
      <c r="E6" s="271"/>
      <c r="F6" s="271"/>
      <c r="G6" s="272"/>
      <c r="H6" s="75"/>
      <c r="I6" s="75"/>
      <c r="J6" s="75"/>
      <c r="K6" s="75"/>
      <c r="L6" s="75"/>
      <c r="M6" s="75"/>
    </row>
    <row r="7" spans="1:13" ht="15.75" thickBot="1">
      <c r="A7" s="75"/>
      <c r="B7" s="75"/>
      <c r="C7" s="75"/>
      <c r="D7" s="75"/>
      <c r="E7" s="75"/>
      <c r="F7" s="75"/>
      <c r="G7" s="75"/>
      <c r="H7" s="75"/>
      <c r="I7" s="75"/>
      <c r="J7" s="75"/>
      <c r="K7" s="75"/>
      <c r="L7" s="75"/>
      <c r="M7" s="75"/>
    </row>
    <row r="8" spans="1:13" ht="15">
      <c r="A8" s="75"/>
      <c r="B8" s="75"/>
      <c r="C8" s="268" t="s">
        <v>87</v>
      </c>
      <c r="D8" s="269"/>
      <c r="E8" s="75"/>
      <c r="F8" s="268" t="s">
        <v>88</v>
      </c>
      <c r="G8" s="269"/>
      <c r="H8" s="75"/>
      <c r="I8" s="75"/>
      <c r="J8" s="75"/>
      <c r="K8" s="75"/>
      <c r="L8" s="75"/>
      <c r="M8" s="75"/>
    </row>
    <row r="9" spans="1:13" ht="15">
      <c r="A9" s="75"/>
      <c r="B9" s="75"/>
      <c r="C9" s="5" t="s">
        <v>152</v>
      </c>
      <c r="D9" s="93" t="str">
        <f>IF(Inputs!C30="Please choose","Not selected",Inputs!C30)</f>
        <v>Not selected</v>
      </c>
      <c r="E9" s="80" t="s">
        <v>162</v>
      </c>
      <c r="F9" s="5" t="s">
        <v>157</v>
      </c>
      <c r="G9" s="93" t="str">
        <f>IF(Inputs!C92="Please choose","Not selected",Inputs!C92)</f>
        <v>Not selected</v>
      </c>
      <c r="H9" s="75"/>
      <c r="I9" s="75"/>
      <c r="J9" s="75"/>
      <c r="K9" s="75"/>
      <c r="L9" s="75"/>
      <c r="M9" s="75"/>
    </row>
    <row r="10" spans="1:13" ht="15">
      <c r="A10" s="75"/>
      <c r="B10" s="75"/>
      <c r="C10" s="5" t="s">
        <v>153</v>
      </c>
      <c r="D10" s="47" t="str">
        <f>IF(Inputs!C49="Please choose","Not selected",Inputs!C49)</f>
        <v>Not selected</v>
      </c>
      <c r="E10" s="80" t="str">
        <f>D9&amp;" + "&amp;D10</f>
        <v>Not selected + Not selected</v>
      </c>
      <c r="F10" s="5" t="s">
        <v>154</v>
      </c>
      <c r="G10" s="97" t="str">
        <f>_xlfn.IFERROR('Financial calculation'!G51,"Answer options on input tab")</f>
        <v>N/A</v>
      </c>
      <c r="H10" s="75"/>
      <c r="I10" s="75"/>
      <c r="J10" s="75"/>
      <c r="K10" s="75"/>
      <c r="L10" s="75"/>
      <c r="M10" s="75"/>
    </row>
    <row r="11" spans="1:13" ht="15">
      <c r="A11" s="75"/>
      <c r="B11" s="75"/>
      <c r="C11" s="5" t="s">
        <v>154</v>
      </c>
      <c r="D11" s="97" t="str">
        <f>_xlfn.IFERROR('Financial calculation'!D51,"Answer options on input tab")</f>
        <v>Answer options on input tab</v>
      </c>
      <c r="E11" s="80"/>
      <c r="F11" s="5" t="s">
        <v>155</v>
      </c>
      <c r="G11" s="97" t="str">
        <f>_xlfn.IFERROR('Financial calculation'!G52,"Answer options on input tab")</f>
        <v>N/A</v>
      </c>
      <c r="H11" s="80" t="s">
        <v>162</v>
      </c>
      <c r="I11" s="75"/>
      <c r="J11" s="75"/>
      <c r="K11" s="75"/>
      <c r="L11" s="75"/>
      <c r="M11" s="75"/>
    </row>
    <row r="12" spans="1:13" ht="15.75" thickBot="1">
      <c r="A12" s="75"/>
      <c r="B12" s="75"/>
      <c r="C12" s="5" t="s">
        <v>155</v>
      </c>
      <c r="D12" s="97" t="str">
        <f>_xlfn.IFERROR('Financial calculation'!D52,"Answer options on input tab")</f>
        <v>Answer options on input tab</v>
      </c>
      <c r="E12" s="80"/>
      <c r="F12" s="6" t="s">
        <v>156</v>
      </c>
      <c r="G12" s="96">
        <f>_xlfn.IFERROR('Financial calculation'!G53,"Answer options on input tab")</f>
        <v>0</v>
      </c>
      <c r="H12" s="94">
        <f>-G12</f>
        <v>0</v>
      </c>
      <c r="I12" s="75"/>
      <c r="J12" s="75"/>
      <c r="K12" s="75"/>
      <c r="L12" s="75"/>
      <c r="M12" s="75"/>
    </row>
    <row r="13" spans="1:13" ht="15">
      <c r="A13" s="75"/>
      <c r="B13" s="75"/>
      <c r="C13" s="5" t="s">
        <v>156</v>
      </c>
      <c r="D13" s="97">
        <f>_xlfn.IFERROR('Financial calculation'!D53,"Answer options on input tab")</f>
        <v>0</v>
      </c>
      <c r="E13" s="94">
        <f>-D13</f>
        <v>0</v>
      </c>
      <c r="F13" s="75"/>
      <c r="G13" s="75"/>
      <c r="H13" s="75"/>
      <c r="I13" s="75"/>
      <c r="J13" s="75"/>
      <c r="K13" s="75"/>
      <c r="L13" s="75"/>
      <c r="M13" s="75"/>
    </row>
    <row r="14" spans="1:13" ht="15.75" thickBot="1">
      <c r="A14" s="75"/>
      <c r="B14" s="75"/>
      <c r="C14" s="6" t="s">
        <v>309</v>
      </c>
      <c r="D14" s="96" t="str">
        <f>_xlfn.IFERROR('Financial calculation'!D54,"Answer options on input tab")</f>
        <v>Answer options on input tab</v>
      </c>
      <c r="E14" s="75"/>
      <c r="F14" s="75"/>
      <c r="G14" s="75"/>
      <c r="H14" s="75"/>
      <c r="I14" s="75"/>
      <c r="J14" s="75"/>
      <c r="K14" s="75"/>
      <c r="L14" s="75"/>
      <c r="M14" s="75"/>
    </row>
    <row r="15" spans="1:13" ht="15">
      <c r="A15" s="75"/>
      <c r="B15" s="75"/>
      <c r="C15" s="75"/>
      <c r="D15" s="75"/>
      <c r="E15" s="75"/>
      <c r="F15" s="75"/>
      <c r="G15" s="75"/>
      <c r="H15" s="75"/>
      <c r="I15" s="75"/>
      <c r="J15" s="75"/>
      <c r="K15" s="75"/>
      <c r="L15" s="75"/>
      <c r="M15" s="75"/>
    </row>
    <row r="16" spans="1:13" ht="15">
      <c r="A16" s="75"/>
      <c r="B16" s="75"/>
      <c r="C16" s="75"/>
      <c r="D16" s="75"/>
      <c r="E16" s="75"/>
      <c r="F16" s="75"/>
      <c r="G16" s="75"/>
      <c r="H16" s="75"/>
      <c r="I16" s="75"/>
      <c r="J16" s="75"/>
      <c r="K16" s="75"/>
      <c r="L16" s="75"/>
      <c r="M16" s="75"/>
    </row>
    <row r="17" spans="1:13" ht="15">
      <c r="A17" s="75"/>
      <c r="B17" s="75"/>
      <c r="C17" s="75"/>
      <c r="D17" s="75"/>
      <c r="E17" s="75"/>
      <c r="F17" s="75"/>
      <c r="G17" s="75"/>
      <c r="H17" s="75"/>
      <c r="I17" s="75"/>
      <c r="J17" s="75"/>
      <c r="K17" s="75"/>
      <c r="L17" s="75"/>
      <c r="M17" s="75"/>
    </row>
    <row r="18" spans="1:13" ht="15">
      <c r="A18" s="75"/>
      <c r="B18" s="75"/>
      <c r="C18" s="75"/>
      <c r="D18" s="75"/>
      <c r="E18" s="75"/>
      <c r="F18" s="75"/>
      <c r="G18" s="75"/>
      <c r="H18" s="75"/>
      <c r="I18" s="75"/>
      <c r="J18" s="75"/>
      <c r="K18" s="75"/>
      <c r="L18" s="75"/>
      <c r="M18" s="75"/>
    </row>
    <row r="19" spans="1:13" ht="15">
      <c r="A19" s="75"/>
      <c r="B19" s="75"/>
      <c r="C19" s="75"/>
      <c r="D19" s="75"/>
      <c r="E19" s="75"/>
      <c r="F19" s="75"/>
      <c r="G19" s="75"/>
      <c r="H19" s="75"/>
      <c r="I19" s="75"/>
      <c r="J19" s="75"/>
      <c r="K19" s="75"/>
      <c r="L19" s="75"/>
      <c r="M19" s="75"/>
    </row>
    <row r="20" spans="1:13" ht="15">
      <c r="A20" s="75"/>
      <c r="B20" s="75"/>
      <c r="C20" s="75"/>
      <c r="D20" s="75"/>
      <c r="E20" s="75"/>
      <c r="F20" s="75"/>
      <c r="G20" s="75"/>
      <c r="H20" s="75"/>
      <c r="I20" s="75"/>
      <c r="J20" s="75"/>
      <c r="K20" s="75"/>
      <c r="L20" s="75"/>
      <c r="M20" s="75"/>
    </row>
    <row r="21" spans="1:13" ht="15">
      <c r="A21" s="75"/>
      <c r="B21" s="75"/>
      <c r="C21" s="75"/>
      <c r="D21" s="75"/>
      <c r="E21" s="75"/>
      <c r="F21" s="75"/>
      <c r="G21" s="75"/>
      <c r="H21" s="75"/>
      <c r="I21" s="75"/>
      <c r="J21" s="75"/>
      <c r="K21" s="75"/>
      <c r="L21" s="75"/>
      <c r="M21" s="75"/>
    </row>
    <row r="22" spans="1:13" ht="15">
      <c r="A22" s="75"/>
      <c r="B22" s="75"/>
      <c r="C22" s="75"/>
      <c r="D22" s="75"/>
      <c r="E22" s="75"/>
      <c r="F22" s="75"/>
      <c r="G22" s="75"/>
      <c r="H22" s="75"/>
      <c r="I22" s="75"/>
      <c r="J22" s="75"/>
      <c r="K22" s="75"/>
      <c r="L22" s="75"/>
      <c r="M22" s="75"/>
    </row>
    <row r="23" spans="1:13" ht="15">
      <c r="A23" s="75"/>
      <c r="B23" s="75"/>
      <c r="C23" s="75"/>
      <c r="D23" s="75"/>
      <c r="E23" s="75"/>
      <c r="F23" s="75"/>
      <c r="G23" s="75"/>
      <c r="H23" s="75"/>
      <c r="I23" s="75"/>
      <c r="J23" s="75"/>
      <c r="K23" s="75"/>
      <c r="L23" s="75"/>
      <c r="M23" s="75"/>
    </row>
    <row r="24" spans="1:13" ht="15">
      <c r="A24" s="75"/>
      <c r="B24" s="75"/>
      <c r="C24" s="75"/>
      <c r="D24" s="75"/>
      <c r="E24" s="75"/>
      <c r="F24" s="75"/>
      <c r="G24" s="75"/>
      <c r="H24" s="75"/>
      <c r="I24" s="75"/>
      <c r="J24" s="75"/>
      <c r="K24" s="75"/>
      <c r="L24" s="75"/>
      <c r="M24" s="75"/>
    </row>
    <row r="25" spans="1:13" ht="15">
      <c r="A25" s="75"/>
      <c r="B25" s="75"/>
      <c r="C25" s="75"/>
      <c r="D25" s="75"/>
      <c r="E25" s="75"/>
      <c r="F25" s="75"/>
      <c r="G25" s="75"/>
      <c r="H25" s="75"/>
      <c r="I25" s="75"/>
      <c r="J25" s="75"/>
      <c r="K25" s="75"/>
      <c r="L25" s="75"/>
      <c r="M25" s="75"/>
    </row>
    <row r="26" spans="1:13" ht="15">
      <c r="A26" s="75"/>
      <c r="B26" s="75"/>
      <c r="C26" s="75"/>
      <c r="D26" s="75"/>
      <c r="E26" s="75"/>
      <c r="F26" s="75"/>
      <c r="G26" s="75"/>
      <c r="H26" s="75"/>
      <c r="I26" s="75"/>
      <c r="J26" s="75"/>
      <c r="K26" s="75"/>
      <c r="L26" s="75"/>
      <c r="M26" s="75"/>
    </row>
    <row r="27" spans="1:13" ht="15">
      <c r="A27" s="75"/>
      <c r="B27" s="75"/>
      <c r="C27" s="75"/>
      <c r="D27" s="75"/>
      <c r="E27" s="75"/>
      <c r="F27" s="75"/>
      <c r="G27" s="75"/>
      <c r="H27" s="75"/>
      <c r="I27" s="75"/>
      <c r="J27" s="75"/>
      <c r="K27" s="75"/>
      <c r="L27" s="75"/>
      <c r="M27" s="75"/>
    </row>
    <row r="28" spans="1:13" ht="15">
      <c r="A28" s="75"/>
      <c r="B28" s="75"/>
      <c r="C28" s="75"/>
      <c r="D28" s="75"/>
      <c r="E28" s="75"/>
      <c r="F28" s="75"/>
      <c r="G28" s="75"/>
      <c r="H28" s="75"/>
      <c r="I28" s="75"/>
      <c r="J28" s="75"/>
      <c r="K28" s="75"/>
      <c r="L28" s="75"/>
      <c r="M28" s="75"/>
    </row>
    <row r="29" spans="1:13" ht="15">
      <c r="A29" s="75"/>
      <c r="B29" s="75"/>
      <c r="C29" s="75"/>
      <c r="D29" s="75"/>
      <c r="E29" s="75"/>
      <c r="F29" s="75"/>
      <c r="G29" s="75"/>
      <c r="H29" s="75"/>
      <c r="I29" s="75"/>
      <c r="J29" s="75"/>
      <c r="K29" s="75"/>
      <c r="L29" s="75"/>
      <c r="M29" s="75"/>
    </row>
    <row r="30" spans="1:13" ht="15">
      <c r="A30" s="75"/>
      <c r="B30" s="75"/>
      <c r="C30" s="75"/>
      <c r="D30" s="75"/>
      <c r="E30" s="75"/>
      <c r="F30" s="75"/>
      <c r="G30" s="75"/>
      <c r="H30" s="75"/>
      <c r="I30" s="75"/>
      <c r="J30" s="75"/>
      <c r="K30" s="75"/>
      <c r="L30" s="75"/>
      <c r="M30" s="75"/>
    </row>
    <row r="31" spans="1:13" ht="15">
      <c r="A31" s="75"/>
      <c r="B31" s="75"/>
      <c r="C31" s="75"/>
      <c r="D31" s="75"/>
      <c r="E31" s="270"/>
      <c r="F31" s="270"/>
      <c r="G31" s="95"/>
      <c r="H31" s="75"/>
      <c r="I31" s="75"/>
      <c r="J31" s="75"/>
      <c r="K31" s="75"/>
      <c r="L31" s="75"/>
      <c r="M31" s="75"/>
    </row>
    <row r="32" spans="1:13" ht="15">
      <c r="A32" s="75"/>
      <c r="B32" s="75"/>
      <c r="C32" s="75"/>
      <c r="D32" s="75"/>
      <c r="E32" s="75"/>
      <c r="F32" s="75"/>
      <c r="G32" s="75"/>
      <c r="H32" s="75"/>
      <c r="I32" s="75"/>
      <c r="J32" s="75"/>
      <c r="K32" s="75"/>
      <c r="L32" s="75"/>
      <c r="M32" s="75"/>
    </row>
    <row r="33" spans="1:13" ht="15">
      <c r="A33" s="75"/>
      <c r="B33" s="75"/>
      <c r="C33" s="75"/>
      <c r="D33" s="75"/>
      <c r="E33" s="75"/>
      <c r="F33" s="75"/>
      <c r="G33" s="75"/>
      <c r="H33" s="75"/>
      <c r="I33" s="75"/>
      <c r="J33" s="75"/>
      <c r="K33" s="75"/>
      <c r="L33" s="75"/>
      <c r="M33" s="75"/>
    </row>
    <row r="34" spans="1:13" ht="15">
      <c r="A34" s="75"/>
      <c r="B34" s="75"/>
      <c r="C34" s="75"/>
      <c r="D34" s="75"/>
      <c r="E34" s="75"/>
      <c r="F34" s="75"/>
      <c r="G34" s="75"/>
      <c r="H34" s="75"/>
      <c r="I34" s="75"/>
      <c r="J34" s="75"/>
      <c r="K34" s="75"/>
      <c r="L34" s="75"/>
      <c r="M34" s="75"/>
    </row>
    <row r="35" spans="1:13" ht="15">
      <c r="A35" s="75"/>
      <c r="B35" s="75"/>
      <c r="C35" s="75"/>
      <c r="D35" s="75"/>
      <c r="E35" s="75"/>
      <c r="F35" s="75"/>
      <c r="G35" s="75"/>
      <c r="H35" s="75"/>
      <c r="I35" s="75"/>
      <c r="J35" s="75"/>
      <c r="K35" s="75"/>
      <c r="L35" s="75"/>
      <c r="M35" s="75"/>
    </row>
    <row r="36" spans="1:13" ht="15">
      <c r="A36" s="75"/>
      <c r="B36" s="75"/>
      <c r="C36" s="75"/>
      <c r="D36" s="75"/>
      <c r="E36" s="75"/>
      <c r="F36" s="75"/>
      <c r="G36" s="75"/>
      <c r="H36" s="75"/>
      <c r="I36" s="75"/>
      <c r="J36" s="75"/>
      <c r="K36" s="75"/>
      <c r="L36" s="75"/>
      <c r="M36" s="75"/>
    </row>
    <row r="37" spans="1:13" ht="15">
      <c r="A37" s="75"/>
      <c r="B37" s="75"/>
      <c r="C37" s="75"/>
      <c r="D37" s="75"/>
      <c r="E37" s="75"/>
      <c r="F37" s="75"/>
      <c r="G37" s="75"/>
      <c r="H37" s="75"/>
      <c r="I37" s="75"/>
      <c r="J37" s="75"/>
      <c r="K37" s="75"/>
      <c r="L37" s="75"/>
      <c r="M37" s="75"/>
    </row>
    <row r="38" spans="1:13" ht="15">
      <c r="A38" s="75"/>
      <c r="B38" s="75"/>
      <c r="C38" s="75"/>
      <c r="D38" s="75"/>
      <c r="E38" s="75"/>
      <c r="F38" s="75"/>
      <c r="G38" s="75"/>
      <c r="H38" s="75"/>
      <c r="I38" s="75"/>
      <c r="J38" s="75"/>
      <c r="K38" s="75"/>
      <c r="L38" s="75"/>
      <c r="M38" s="75"/>
    </row>
    <row r="39" spans="1:13" ht="15">
      <c r="A39" s="75"/>
      <c r="B39" s="75"/>
      <c r="C39" s="75"/>
      <c r="D39" s="75"/>
      <c r="E39" s="75"/>
      <c r="F39" s="75"/>
      <c r="G39" s="75"/>
      <c r="H39" s="75"/>
      <c r="I39" s="75"/>
      <c r="J39" s="75"/>
      <c r="K39" s="75"/>
      <c r="L39" s="75"/>
      <c r="M39" s="75"/>
    </row>
    <row r="40" spans="1:13" ht="15">
      <c r="A40" s="75"/>
      <c r="B40" s="75"/>
      <c r="C40" s="75"/>
      <c r="D40" s="75"/>
      <c r="E40" s="75"/>
      <c r="F40" s="75"/>
      <c r="G40" s="75"/>
      <c r="H40" s="75"/>
      <c r="I40" s="75"/>
      <c r="J40" s="75"/>
      <c r="K40" s="75"/>
      <c r="L40" s="75"/>
      <c r="M40" s="75"/>
    </row>
    <row r="41" spans="1:13" ht="15">
      <c r="A41" s="75"/>
      <c r="B41" s="75"/>
      <c r="C41" s="75"/>
      <c r="D41" s="75"/>
      <c r="E41" s="75"/>
      <c r="F41" s="75"/>
      <c r="G41" s="75"/>
      <c r="H41" s="75"/>
      <c r="I41" s="75"/>
      <c r="J41" s="75"/>
      <c r="K41" s="75"/>
      <c r="L41" s="75"/>
      <c r="M41" s="75"/>
    </row>
    <row r="42" spans="1:13" ht="15">
      <c r="A42" s="75"/>
      <c r="B42" s="75"/>
      <c r="C42" s="75"/>
      <c r="D42" s="75"/>
      <c r="E42" s="75"/>
      <c r="F42" s="75"/>
      <c r="G42" s="75"/>
      <c r="H42" s="75"/>
      <c r="I42" s="75"/>
      <c r="J42" s="75"/>
      <c r="K42" s="75"/>
      <c r="L42" s="75"/>
      <c r="M42" s="75"/>
    </row>
    <row r="43" spans="1:13" ht="15">
      <c r="A43" s="75"/>
      <c r="B43" s="75"/>
      <c r="C43" s="75"/>
      <c r="D43" s="75"/>
      <c r="E43" s="75"/>
      <c r="F43" s="75"/>
      <c r="G43" s="75"/>
      <c r="H43" s="75"/>
      <c r="I43" s="75"/>
      <c r="J43" s="75"/>
      <c r="K43" s="75"/>
      <c r="L43" s="75"/>
      <c r="M43" s="75"/>
    </row>
    <row r="44" spans="1:13" ht="15">
      <c r="A44" s="75"/>
      <c r="B44" s="75"/>
      <c r="C44" s="75"/>
      <c r="D44" s="75"/>
      <c r="E44" s="75"/>
      <c r="F44" s="75"/>
      <c r="G44" s="75"/>
      <c r="H44" s="75"/>
      <c r="I44" s="75"/>
      <c r="J44" s="75"/>
      <c r="K44" s="75"/>
      <c r="L44" s="75"/>
      <c r="M44" s="75"/>
    </row>
    <row r="45" spans="1:13" ht="15">
      <c r="A45" s="75"/>
      <c r="B45" s="75"/>
      <c r="C45" s="75"/>
      <c r="D45" s="75"/>
      <c r="E45" s="75"/>
      <c r="F45" s="75"/>
      <c r="G45" s="75"/>
      <c r="H45" s="75"/>
      <c r="I45" s="75"/>
      <c r="J45" s="75"/>
      <c r="K45" s="75"/>
      <c r="L45" s="75"/>
      <c r="M45" s="75"/>
    </row>
    <row r="46" spans="1:13" ht="15">
      <c r="A46" s="75"/>
      <c r="B46" s="75"/>
      <c r="C46" s="75"/>
      <c r="D46" s="75"/>
      <c r="E46" s="75"/>
      <c r="F46" s="75"/>
      <c r="G46" s="75"/>
      <c r="H46" s="75"/>
      <c r="I46" s="75"/>
      <c r="J46" s="75"/>
      <c r="K46" s="75"/>
      <c r="L46" s="75"/>
      <c r="M46" s="75"/>
    </row>
    <row r="47" spans="1:13" ht="15">
      <c r="A47" s="75"/>
      <c r="B47" s="75"/>
      <c r="C47" s="75"/>
      <c r="D47" s="75"/>
      <c r="E47" s="75"/>
      <c r="F47" s="75"/>
      <c r="G47" s="75"/>
      <c r="H47" s="75"/>
      <c r="I47" s="75"/>
      <c r="J47" s="75"/>
      <c r="K47" s="75"/>
      <c r="L47" s="75"/>
      <c r="M47" s="75"/>
    </row>
    <row r="48" spans="1:13" ht="15">
      <c r="A48" s="75"/>
      <c r="B48" s="75"/>
      <c r="C48" s="75"/>
      <c r="D48" s="75"/>
      <c r="E48" s="75"/>
      <c r="F48" s="75"/>
      <c r="G48" s="75"/>
      <c r="H48" s="75"/>
      <c r="I48" s="75"/>
      <c r="J48" s="75"/>
      <c r="K48" s="75"/>
      <c r="L48" s="75"/>
      <c r="M48" s="75"/>
    </row>
    <row r="49" spans="1:13" ht="15">
      <c r="A49" s="75"/>
      <c r="B49" s="75"/>
      <c r="C49" s="75"/>
      <c r="D49" s="75"/>
      <c r="E49" s="75"/>
      <c r="F49" s="75"/>
      <c r="G49" s="75"/>
      <c r="H49" s="75"/>
      <c r="I49" s="75"/>
      <c r="J49" s="75"/>
      <c r="K49" s="75"/>
      <c r="L49" s="75"/>
      <c r="M49" s="75"/>
    </row>
    <row r="50" spans="1:13" ht="15">
      <c r="A50" s="75"/>
      <c r="B50" s="75"/>
      <c r="C50" s="75"/>
      <c r="D50" s="75"/>
      <c r="E50" s="75"/>
      <c r="F50" s="75"/>
      <c r="G50" s="75"/>
      <c r="H50" s="75"/>
      <c r="I50" s="75"/>
      <c r="J50" s="75"/>
      <c r="K50" s="75"/>
      <c r="L50" s="75"/>
      <c r="M50" s="75"/>
    </row>
    <row r="51" spans="1:13" ht="15">
      <c r="A51" s="75"/>
      <c r="B51" s="75"/>
      <c r="C51" s="75"/>
      <c r="D51" s="75"/>
      <c r="E51" s="75"/>
      <c r="F51" s="75"/>
      <c r="G51" s="75"/>
      <c r="H51" s="75"/>
      <c r="I51" s="75"/>
      <c r="J51" s="75"/>
      <c r="K51" s="75"/>
      <c r="L51" s="75"/>
      <c r="M51" s="75"/>
    </row>
    <row r="52" spans="1:13" ht="15">
      <c r="A52" s="75"/>
      <c r="B52" s="75"/>
      <c r="C52" s="75"/>
      <c r="D52" s="75"/>
      <c r="E52" s="75"/>
      <c r="F52" s="75"/>
      <c r="G52" s="75"/>
      <c r="H52" s="75"/>
      <c r="I52" s="75"/>
      <c r="J52" s="75"/>
      <c r="K52" s="75"/>
      <c r="L52" s="75"/>
      <c r="M52" s="75"/>
    </row>
    <row r="53" spans="1:13" ht="15">
      <c r="A53" s="75"/>
      <c r="B53" s="75"/>
      <c r="C53" s="75"/>
      <c r="D53" s="75"/>
      <c r="E53" s="75"/>
      <c r="F53" s="75"/>
      <c r="G53" s="75"/>
      <c r="H53" s="75"/>
      <c r="I53" s="75"/>
      <c r="J53" s="75"/>
      <c r="K53" s="75"/>
      <c r="L53" s="75"/>
      <c r="M53" s="75"/>
    </row>
  </sheetData>
  <sheetProtection sheet="1" objects="1" scenarios="1"/>
  <mergeCells count="7">
    <mergeCell ref="C3:D3"/>
    <mergeCell ref="C8:D8"/>
    <mergeCell ref="F8:G8"/>
    <mergeCell ref="E31:F31"/>
    <mergeCell ref="C2:G2"/>
    <mergeCell ref="C4:G5"/>
    <mergeCell ref="D6:G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tabColor theme="5" tint="0.5999900102615356"/>
  </sheetPr>
  <dimension ref="A1:Z59"/>
  <sheetViews>
    <sheetView zoomScalePageLayoutView="0" workbookViewId="0" topLeftCell="A1">
      <selection activeCell="C3" sqref="C3"/>
    </sheetView>
  </sheetViews>
  <sheetFormatPr defaultColWidth="9.140625" defaultRowHeight="15"/>
  <cols>
    <col min="2" max="2" width="2.8515625" style="0" customWidth="1"/>
    <col min="3" max="3" width="61.7109375" style="0" bestFit="1" customWidth="1"/>
    <col min="4" max="4" width="10.421875" style="0" customWidth="1"/>
    <col min="6" max="6" width="49.7109375" style="0" customWidth="1"/>
    <col min="9" max="9" width="9.140625" style="0" customWidth="1"/>
    <col min="10" max="19" width="9.57421875" style="0" bestFit="1" customWidth="1"/>
    <col min="20" max="20" width="23.140625" style="0" bestFit="1" customWidth="1"/>
  </cols>
  <sheetData>
    <row r="1" spans="1:26" ht="15">
      <c r="A1" s="75"/>
      <c r="B1" s="75"/>
      <c r="C1" s="75"/>
      <c r="D1" s="75"/>
      <c r="E1" s="75"/>
      <c r="F1" s="75"/>
      <c r="G1" s="75"/>
      <c r="H1" s="75"/>
      <c r="I1" s="75"/>
      <c r="J1" s="75"/>
      <c r="K1" s="75"/>
      <c r="L1" s="75"/>
      <c r="M1" s="75"/>
      <c r="N1" s="75"/>
      <c r="O1" s="75"/>
      <c r="P1" s="75"/>
      <c r="Q1" s="75"/>
      <c r="R1" s="75"/>
      <c r="S1" s="75"/>
      <c r="T1" s="75"/>
      <c r="U1" s="75"/>
      <c r="V1" s="75"/>
      <c r="W1" s="75"/>
      <c r="X1" s="75"/>
      <c r="Y1" s="75"/>
      <c r="Z1" s="75"/>
    </row>
    <row r="2" spans="1:26" ht="26.25">
      <c r="A2" s="75"/>
      <c r="B2" s="75"/>
      <c r="C2" s="239" t="str">
        <f>Inputs!C2</f>
        <v>Resource Efficient Scotland - Hospital food waste disposal calculator </v>
      </c>
      <c r="D2" s="239"/>
      <c r="E2" s="239"/>
      <c r="F2" s="239"/>
      <c r="G2" s="75"/>
      <c r="H2" s="75"/>
      <c r="I2" s="75"/>
      <c r="J2" s="75"/>
      <c r="K2" s="75"/>
      <c r="L2" s="75"/>
      <c r="M2" s="75"/>
      <c r="N2" s="75"/>
      <c r="O2" s="75"/>
      <c r="P2" s="75"/>
      <c r="Q2" s="75"/>
      <c r="R2" s="75"/>
      <c r="S2" s="75"/>
      <c r="T2" s="75"/>
      <c r="U2" s="75"/>
      <c r="V2" s="75"/>
      <c r="W2" s="75"/>
      <c r="X2" s="75"/>
      <c r="Y2" s="75"/>
      <c r="Z2" s="75"/>
    </row>
    <row r="3" spans="1:26" ht="21">
      <c r="A3" s="75"/>
      <c r="B3" s="75"/>
      <c r="C3" s="86" t="s">
        <v>94</v>
      </c>
      <c r="D3" s="75"/>
      <c r="E3" s="75"/>
      <c r="F3" s="75"/>
      <c r="G3" s="75"/>
      <c r="H3" s="75"/>
      <c r="I3" s="75"/>
      <c r="J3" s="75"/>
      <c r="K3" s="75"/>
      <c r="L3" s="75"/>
      <c r="M3" s="75"/>
      <c r="N3" s="75"/>
      <c r="O3" s="75"/>
      <c r="P3" s="75"/>
      <c r="Q3" s="75"/>
      <c r="R3" s="75"/>
      <c r="S3" s="75"/>
      <c r="T3" s="75"/>
      <c r="U3" s="75"/>
      <c r="V3" s="75"/>
      <c r="W3" s="75"/>
      <c r="X3" s="75"/>
      <c r="Y3" s="75"/>
      <c r="Z3" s="75"/>
    </row>
    <row r="4" spans="1:26" ht="15" customHeight="1">
      <c r="A4" s="121"/>
      <c r="B4" s="121"/>
      <c r="C4" s="275" t="s">
        <v>169</v>
      </c>
      <c r="D4" s="275"/>
      <c r="E4" s="275"/>
      <c r="F4" s="275"/>
      <c r="G4" s="75"/>
      <c r="H4" s="75"/>
      <c r="I4" s="75"/>
      <c r="J4" s="75"/>
      <c r="K4" s="75"/>
      <c r="L4" s="75"/>
      <c r="M4" s="75"/>
      <c r="N4" s="75"/>
      <c r="O4" s="75"/>
      <c r="P4" s="75"/>
      <c r="Q4" s="75"/>
      <c r="R4" s="75"/>
      <c r="S4" s="75"/>
      <c r="T4" s="75"/>
      <c r="U4" s="75"/>
      <c r="V4" s="75"/>
      <c r="W4" s="75"/>
      <c r="X4" s="75"/>
      <c r="Y4" s="75"/>
      <c r="Z4" s="75"/>
    </row>
    <row r="5" spans="1:26" ht="15">
      <c r="A5" s="75"/>
      <c r="B5" s="75"/>
      <c r="C5" s="75"/>
      <c r="D5" s="75"/>
      <c r="E5" s="75"/>
      <c r="F5" s="75"/>
      <c r="G5" s="75"/>
      <c r="H5" s="75"/>
      <c r="I5" s="75"/>
      <c r="J5" s="75"/>
      <c r="K5" s="75"/>
      <c r="L5" s="75"/>
      <c r="M5" s="75"/>
      <c r="N5" s="75"/>
      <c r="O5" s="75"/>
      <c r="P5" s="75"/>
      <c r="Q5" s="75"/>
      <c r="R5" s="75"/>
      <c r="S5" s="75"/>
      <c r="T5" s="75"/>
      <c r="U5" s="75"/>
      <c r="V5" s="75"/>
      <c r="W5" s="75"/>
      <c r="X5" s="75"/>
      <c r="Y5" s="75"/>
      <c r="Z5" s="75"/>
    </row>
    <row r="6" spans="1:26" ht="19.5" thickBot="1">
      <c r="A6" s="75"/>
      <c r="B6" s="75"/>
      <c r="C6" s="276" t="s">
        <v>113</v>
      </c>
      <c r="D6" s="276"/>
      <c r="E6" s="75"/>
      <c r="F6" s="276" t="s">
        <v>114</v>
      </c>
      <c r="G6" s="276"/>
      <c r="H6" s="75"/>
      <c r="I6" s="75"/>
      <c r="J6" s="75"/>
      <c r="K6" s="75"/>
      <c r="L6" s="75"/>
      <c r="M6" s="75"/>
      <c r="N6" s="75"/>
      <c r="O6" s="75"/>
      <c r="P6" s="75"/>
      <c r="Q6" s="75"/>
      <c r="R6" s="75"/>
      <c r="S6" s="75"/>
      <c r="T6" s="75"/>
      <c r="U6" s="75"/>
      <c r="V6" s="75"/>
      <c r="W6" s="75"/>
      <c r="X6" s="75"/>
      <c r="Y6" s="75"/>
      <c r="Z6" s="75"/>
    </row>
    <row r="7" spans="1:26" ht="15">
      <c r="A7" s="75"/>
      <c r="B7" s="75"/>
      <c r="C7" s="273" t="s">
        <v>96</v>
      </c>
      <c r="D7" s="274"/>
      <c r="E7" s="75"/>
      <c r="F7" s="273" t="s">
        <v>96</v>
      </c>
      <c r="G7" s="274"/>
      <c r="H7" s="75"/>
      <c r="I7" s="75"/>
      <c r="J7" s="75"/>
      <c r="K7" s="75"/>
      <c r="L7" s="75"/>
      <c r="M7" s="75"/>
      <c r="N7" s="75"/>
      <c r="O7" s="75"/>
      <c r="P7" s="75"/>
      <c r="Q7" s="75"/>
      <c r="R7" s="75"/>
      <c r="S7" s="75"/>
      <c r="T7" s="75"/>
      <c r="U7" s="75"/>
      <c r="V7" s="75"/>
      <c r="W7" s="75"/>
      <c r="X7" s="75"/>
      <c r="Y7" s="75"/>
      <c r="Z7" s="75"/>
    </row>
    <row r="8" spans="1:26" ht="15">
      <c r="A8" s="75"/>
      <c r="B8" s="75"/>
      <c r="C8" s="58" t="s">
        <v>16</v>
      </c>
      <c r="D8" s="101" t="e">
        <f>Inputs!F38*Inputs!F33</f>
        <v>#VALUE!</v>
      </c>
      <c r="E8" s="75"/>
      <c r="F8" s="58" t="s">
        <v>16</v>
      </c>
      <c r="G8" s="101" t="str">
        <f>_xlfn.IFERROR(Inputs!F98*Inputs!F95,"N/A")</f>
        <v>N/A</v>
      </c>
      <c r="H8" s="75"/>
      <c r="I8" s="75"/>
      <c r="J8" s="75"/>
      <c r="K8" s="75"/>
      <c r="L8" s="75"/>
      <c r="M8" s="75"/>
      <c r="N8" s="75"/>
      <c r="O8" s="75"/>
      <c r="P8" s="75"/>
      <c r="Q8" s="75"/>
      <c r="R8" s="75"/>
      <c r="S8" s="75"/>
      <c r="T8" s="75"/>
      <c r="U8" s="75"/>
      <c r="V8" s="75"/>
      <c r="W8" s="75"/>
      <c r="X8" s="75"/>
      <c r="Y8" s="75"/>
      <c r="Z8" s="75"/>
    </row>
    <row r="9" spans="1:26" ht="15">
      <c r="A9" s="75"/>
      <c r="B9" s="75"/>
      <c r="C9" s="58" t="s">
        <v>215</v>
      </c>
      <c r="D9" s="101" t="e">
        <f>Inputs!F39*Inputs!F33</f>
        <v>#VALUE!</v>
      </c>
      <c r="E9" s="75"/>
      <c r="F9" s="58" t="s">
        <v>215</v>
      </c>
      <c r="G9" s="101" t="str">
        <f>_xlfn.IFERROR(Inputs!F99*Inputs!F95,"N/A")</f>
        <v>N/A</v>
      </c>
      <c r="H9" s="75"/>
      <c r="I9" s="75"/>
      <c r="J9" s="75"/>
      <c r="K9" s="75"/>
      <c r="L9" s="75"/>
      <c r="M9" s="75"/>
      <c r="N9" s="75"/>
      <c r="O9" s="75"/>
      <c r="P9" s="75"/>
      <c r="Q9" s="75"/>
      <c r="R9" s="75"/>
      <c r="S9" s="75"/>
      <c r="T9" s="75"/>
      <c r="U9" s="75"/>
      <c r="V9" s="75"/>
      <c r="W9" s="75"/>
      <c r="X9" s="75"/>
      <c r="Y9" s="75"/>
      <c r="Z9" s="75"/>
    </row>
    <row r="10" spans="1:26" ht="15">
      <c r="A10" s="75"/>
      <c r="B10" s="75"/>
      <c r="C10" s="58" t="s">
        <v>20</v>
      </c>
      <c r="D10" s="101" t="e">
        <f>Inputs!F40*Inputs!F33</f>
        <v>#VALUE!</v>
      </c>
      <c r="E10" s="75"/>
      <c r="F10" s="58" t="s">
        <v>20</v>
      </c>
      <c r="G10" s="101" t="str">
        <f>_xlfn.IFERROR(Inputs!F100*Inputs!F95,"N/A")</f>
        <v>N/A</v>
      </c>
      <c r="H10" s="75"/>
      <c r="I10" s="75"/>
      <c r="J10" s="75"/>
      <c r="K10" s="75"/>
      <c r="L10" s="75"/>
      <c r="M10" s="75"/>
      <c r="N10" s="75"/>
      <c r="O10" s="75"/>
      <c r="P10" s="75"/>
      <c r="Q10" s="75"/>
      <c r="R10" s="75"/>
      <c r="S10" s="75"/>
      <c r="T10" s="75"/>
      <c r="U10" s="75"/>
      <c r="V10" s="75"/>
      <c r="W10" s="75"/>
      <c r="X10" s="75"/>
      <c r="Y10" s="75"/>
      <c r="Z10" s="75"/>
    </row>
    <row r="11" spans="1:26" ht="15">
      <c r="A11" s="75"/>
      <c r="B11" s="75"/>
      <c r="C11" s="5" t="s">
        <v>249</v>
      </c>
      <c r="D11" s="102" t="e">
        <f>'Technical calculation'!D7*Inputs!F18</f>
        <v>#VALUE!</v>
      </c>
      <c r="E11" s="75"/>
      <c r="F11" s="5" t="s">
        <v>246</v>
      </c>
      <c r="G11" s="102" t="str">
        <f>_xlfn.IFERROR('Technical calculation'!G7*Inputs!F18,"N/A")</f>
        <v>N/A</v>
      </c>
      <c r="H11" s="75"/>
      <c r="I11" s="75"/>
      <c r="J11" s="75"/>
      <c r="K11" s="75"/>
      <c r="L11" s="75"/>
      <c r="M11" s="75"/>
      <c r="N11" s="75"/>
      <c r="O11" s="75"/>
      <c r="P11" s="75"/>
      <c r="Q11" s="75"/>
      <c r="R11" s="75"/>
      <c r="S11" s="75"/>
      <c r="T11" s="75"/>
      <c r="U11" s="75"/>
      <c r="V11" s="75"/>
      <c r="W11" s="75"/>
      <c r="X11" s="75"/>
      <c r="Y11" s="75"/>
      <c r="Z11" s="75"/>
    </row>
    <row r="12" spans="1:26" ht="15">
      <c r="A12" s="75"/>
      <c r="B12" s="75"/>
      <c r="C12" s="5" t="s">
        <v>248</v>
      </c>
      <c r="D12" s="102" t="e">
        <f>'Technical calculation'!D8*Inputs!F19</f>
        <v>#VALUE!</v>
      </c>
      <c r="E12" s="75"/>
      <c r="F12" s="5" t="s">
        <v>99</v>
      </c>
      <c r="G12" s="102" t="str">
        <f>_xlfn.IFERROR('Technical calculation'!G8*Inputs!F17,"N/A")</f>
        <v>N/A</v>
      </c>
      <c r="H12" s="75"/>
      <c r="I12" s="75"/>
      <c r="J12" s="75"/>
      <c r="K12" s="75"/>
      <c r="L12" s="75"/>
      <c r="M12" s="75"/>
      <c r="N12" s="75"/>
      <c r="O12" s="75"/>
      <c r="P12" s="75"/>
      <c r="Q12" s="75"/>
      <c r="R12" s="75"/>
      <c r="S12" s="75"/>
      <c r="T12" s="75"/>
      <c r="U12" s="75"/>
      <c r="V12" s="75"/>
      <c r="W12" s="75"/>
      <c r="X12" s="75"/>
      <c r="Y12" s="75"/>
      <c r="Z12" s="75"/>
    </row>
    <row r="13" spans="1:26" ht="15.75" thickBot="1">
      <c r="A13" s="75"/>
      <c r="B13" s="75"/>
      <c r="C13" s="5" t="s">
        <v>99</v>
      </c>
      <c r="D13" s="102" t="e">
        <f>'Technical calculation'!D9*Inputs!F17</f>
        <v>#VALUE!</v>
      </c>
      <c r="E13" s="75"/>
      <c r="F13" s="6" t="s">
        <v>100</v>
      </c>
      <c r="G13" s="103" t="str">
        <f>_xlfn.IFERROR('Technical calculation'!G9*Inputs!F16,"N/A")</f>
        <v>N/A</v>
      </c>
      <c r="H13" s="75"/>
      <c r="I13" s="75"/>
      <c r="J13" s="75"/>
      <c r="K13" s="75"/>
      <c r="L13" s="75"/>
      <c r="M13" s="75"/>
      <c r="N13" s="75"/>
      <c r="O13" s="75"/>
      <c r="P13" s="75"/>
      <c r="Q13" s="75"/>
      <c r="R13" s="75"/>
      <c r="S13" s="75"/>
      <c r="T13" s="75"/>
      <c r="U13" s="75"/>
      <c r="V13" s="75"/>
      <c r="W13" s="75"/>
      <c r="X13" s="75"/>
      <c r="Y13" s="75"/>
      <c r="Z13" s="75"/>
    </row>
    <row r="14" spans="1:26" ht="15.75" thickBot="1">
      <c r="A14" s="75"/>
      <c r="B14" s="75"/>
      <c r="C14" s="6" t="s">
        <v>100</v>
      </c>
      <c r="D14" s="103" t="e">
        <f>'Technical calculation'!D10*Inputs!F16</f>
        <v>#VALUE!</v>
      </c>
      <c r="E14" s="75"/>
      <c r="F14" s="75"/>
      <c r="G14" s="75"/>
      <c r="H14" s="75"/>
      <c r="I14" s="75"/>
      <c r="J14" s="75"/>
      <c r="K14" s="75"/>
      <c r="L14" s="75"/>
      <c r="M14" s="75"/>
      <c r="N14" s="75"/>
      <c r="O14" s="75"/>
      <c r="P14" s="75"/>
      <c r="Q14" s="75"/>
      <c r="R14" s="75"/>
      <c r="S14" s="75"/>
      <c r="T14" s="75"/>
      <c r="U14" s="75"/>
      <c r="V14" s="75"/>
      <c r="W14" s="75"/>
      <c r="X14" s="75"/>
      <c r="Y14" s="75"/>
      <c r="Z14" s="75"/>
    </row>
    <row r="15" spans="1:26" ht="15.75" thickBot="1">
      <c r="A15" s="75"/>
      <c r="B15" s="75"/>
      <c r="C15" s="75"/>
      <c r="D15" s="75"/>
      <c r="E15" s="75"/>
      <c r="F15" s="273" t="s">
        <v>241</v>
      </c>
      <c r="G15" s="274"/>
      <c r="H15" s="75"/>
      <c r="I15" s="75"/>
      <c r="J15" s="75"/>
      <c r="K15" s="75"/>
      <c r="L15" s="75"/>
      <c r="M15" s="75"/>
      <c r="N15" s="75"/>
      <c r="O15" s="75"/>
      <c r="P15" s="75"/>
      <c r="Q15" s="75"/>
      <c r="R15" s="75"/>
      <c r="S15" s="75"/>
      <c r="T15" s="75"/>
      <c r="U15" s="75"/>
      <c r="V15" s="75"/>
      <c r="W15" s="75"/>
      <c r="X15" s="75"/>
      <c r="Y15" s="75"/>
      <c r="Z15" s="75"/>
    </row>
    <row r="16" spans="1:26" ht="15">
      <c r="A16" s="75"/>
      <c r="B16" s="75"/>
      <c r="C16" s="273" t="s">
        <v>95</v>
      </c>
      <c r="D16" s="274"/>
      <c r="E16" s="75"/>
      <c r="F16" s="5" t="s">
        <v>102</v>
      </c>
      <c r="G16" s="102" t="str">
        <f>_xlfn.IFERROR('Technical calculation'!G15*Inputs!F23*1,"N/A")</f>
        <v>N/A</v>
      </c>
      <c r="H16" s="75"/>
      <c r="I16" s="75"/>
      <c r="J16" s="75"/>
      <c r="K16" s="75"/>
      <c r="L16" s="75"/>
      <c r="M16" s="75"/>
      <c r="N16" s="75"/>
      <c r="O16" s="75"/>
      <c r="P16" s="75"/>
      <c r="Q16" s="75"/>
      <c r="R16" s="75"/>
      <c r="S16" s="75"/>
      <c r="T16" s="75"/>
      <c r="U16" s="75"/>
      <c r="V16" s="75"/>
      <c r="W16" s="75"/>
      <c r="X16" s="75"/>
      <c r="Y16" s="75"/>
      <c r="Z16" s="75"/>
    </row>
    <row r="17" spans="1:26" ht="15">
      <c r="A17" s="75"/>
      <c r="B17" s="75"/>
      <c r="C17" s="5" t="s">
        <v>102</v>
      </c>
      <c r="D17" s="102" t="e">
        <f>'Technical calculation'!D15*Inputs!F23*1</f>
        <v>#VALUE!</v>
      </c>
      <c r="E17" s="75"/>
      <c r="F17" s="5" t="s">
        <v>242</v>
      </c>
      <c r="G17" s="176" t="str">
        <f>_xlfn.IFERROR('Technical calculation'!G16*Inputs!F106,"N/A")</f>
        <v>N/A</v>
      </c>
      <c r="H17" s="75"/>
      <c r="I17" s="75"/>
      <c r="J17" s="75"/>
      <c r="K17" s="75"/>
      <c r="L17" s="75"/>
      <c r="M17" s="75"/>
      <c r="N17" s="75"/>
      <c r="O17" s="75"/>
      <c r="P17" s="75"/>
      <c r="Q17" s="75"/>
      <c r="R17" s="75"/>
      <c r="S17" s="75"/>
      <c r="T17" s="75"/>
      <c r="U17" s="75"/>
      <c r="V17" s="75"/>
      <c r="W17" s="75"/>
      <c r="X17" s="75"/>
      <c r="Y17" s="75"/>
      <c r="Z17" s="75"/>
    </row>
    <row r="18" spans="1:26" ht="15.75" thickBot="1">
      <c r="A18" s="75"/>
      <c r="B18" s="75"/>
      <c r="C18" s="5" t="s">
        <v>252</v>
      </c>
      <c r="D18" s="176" t="e">
        <f>'Technical calculation'!D18*Inputs!F52</f>
        <v>#VALUE!</v>
      </c>
      <c r="E18" s="75"/>
      <c r="F18" s="6" t="s">
        <v>247</v>
      </c>
      <c r="G18" s="103" t="str">
        <f>_xlfn.IFERROR('Technical calculation'!G17*Inputs!F18,"N/A")</f>
        <v>N/A</v>
      </c>
      <c r="H18" s="75"/>
      <c r="I18" s="75"/>
      <c r="J18" s="75"/>
      <c r="K18" s="75"/>
      <c r="L18" s="75"/>
      <c r="M18" s="75"/>
      <c r="N18" s="75"/>
      <c r="O18" s="75"/>
      <c r="P18" s="75"/>
      <c r="Q18" s="75"/>
      <c r="R18" s="75"/>
      <c r="S18" s="75"/>
      <c r="T18" s="75"/>
      <c r="U18" s="75"/>
      <c r="V18" s="75"/>
      <c r="W18" s="75"/>
      <c r="X18" s="75"/>
      <c r="Y18" s="75"/>
      <c r="Z18" s="75"/>
    </row>
    <row r="19" spans="1:26" ht="15.75" thickBot="1">
      <c r="A19" s="75"/>
      <c r="B19" s="75"/>
      <c r="C19" s="6" t="s">
        <v>247</v>
      </c>
      <c r="D19" s="103" t="e">
        <f>'Technical calculation'!D19*Inputs!F18</f>
        <v>#VALUE!</v>
      </c>
      <c r="E19" s="75"/>
      <c r="F19" s="75"/>
      <c r="G19" s="75"/>
      <c r="H19" s="75"/>
      <c r="I19" s="75"/>
      <c r="J19" s="75"/>
      <c r="K19" s="75"/>
      <c r="L19" s="75"/>
      <c r="M19" s="75"/>
      <c r="N19" s="75"/>
      <c r="O19" s="75"/>
      <c r="P19" s="75"/>
      <c r="Q19" s="75"/>
      <c r="R19" s="75"/>
      <c r="S19" s="75"/>
      <c r="T19" s="75"/>
      <c r="U19" s="75"/>
      <c r="V19" s="75"/>
      <c r="W19" s="75"/>
      <c r="X19" s="75"/>
      <c r="Y19" s="75"/>
      <c r="Z19" s="75"/>
    </row>
    <row r="20" spans="1:26" ht="15.75" thickBot="1">
      <c r="A20" s="75"/>
      <c r="B20" s="75"/>
      <c r="C20" s="75"/>
      <c r="D20" s="75"/>
      <c r="E20" s="75"/>
      <c r="F20" s="268" t="s">
        <v>180</v>
      </c>
      <c r="G20" s="269"/>
      <c r="H20" s="75"/>
      <c r="I20" s="75"/>
      <c r="J20" s="75"/>
      <c r="K20" s="75"/>
      <c r="L20" s="75"/>
      <c r="M20" s="75"/>
      <c r="N20" s="75"/>
      <c r="O20" s="75"/>
      <c r="P20" s="75"/>
      <c r="Q20" s="75"/>
      <c r="R20" s="75"/>
      <c r="S20" s="75"/>
      <c r="T20" s="75"/>
      <c r="U20" s="75"/>
      <c r="V20" s="75"/>
      <c r="W20" s="75"/>
      <c r="X20" s="75"/>
      <c r="Y20" s="75"/>
      <c r="Z20" s="75"/>
    </row>
    <row r="21" spans="1:26" ht="15">
      <c r="A21" s="75"/>
      <c r="B21" s="75"/>
      <c r="C21" s="273" t="s">
        <v>97</v>
      </c>
      <c r="D21" s="274"/>
      <c r="E21" s="75"/>
      <c r="F21" s="11" t="s">
        <v>248</v>
      </c>
      <c r="G21" s="176" t="str">
        <f>_xlfn.IFERROR('Technical calculation'!G20*Inputs!F21,"N/A")</f>
        <v>N/A</v>
      </c>
      <c r="H21" s="75"/>
      <c r="I21" s="75"/>
      <c r="J21" s="75"/>
      <c r="K21" s="75"/>
      <c r="L21" s="75"/>
      <c r="M21" s="75"/>
      <c r="N21" s="75"/>
      <c r="O21" s="75"/>
      <c r="P21" s="75"/>
      <c r="Q21" s="75"/>
      <c r="R21" s="75"/>
      <c r="S21" s="75"/>
      <c r="T21" s="75"/>
      <c r="U21" s="75"/>
      <c r="V21" s="75"/>
      <c r="W21" s="75"/>
      <c r="X21" s="75"/>
      <c r="Y21" s="75"/>
      <c r="Z21" s="75"/>
    </row>
    <row r="22" spans="1:26" ht="15.75" thickBot="1">
      <c r="A22" s="75"/>
      <c r="B22" s="75"/>
      <c r="C22" s="11" t="s">
        <v>28</v>
      </c>
      <c r="D22" s="176" t="e">
        <f>IF(Inputs!F57="N/A",0,Inputs!F57*Inputs!F56)</f>
        <v>#VALUE!</v>
      </c>
      <c r="E22" s="75"/>
      <c r="F22" s="138" t="s">
        <v>173</v>
      </c>
      <c r="G22" s="177" t="str">
        <f>_xlfn.IFERROR('Technical calculation'!G21*Inputs!F22,"N/A")</f>
        <v>N/A</v>
      </c>
      <c r="H22" s="75"/>
      <c r="I22" s="75"/>
      <c r="J22" s="75"/>
      <c r="K22" s="75"/>
      <c r="L22" s="75"/>
      <c r="M22" s="75"/>
      <c r="N22" s="75"/>
      <c r="O22" s="75"/>
      <c r="P22" s="75"/>
      <c r="Q22" s="75"/>
      <c r="R22" s="75"/>
      <c r="S22" s="75"/>
      <c r="T22" s="75"/>
      <c r="U22" s="75"/>
      <c r="V22" s="75"/>
      <c r="W22" s="75"/>
      <c r="X22" s="75"/>
      <c r="Y22" s="75"/>
      <c r="Z22" s="75"/>
    </row>
    <row r="23" spans="1:26" ht="15.75" thickBot="1">
      <c r="A23" s="75"/>
      <c r="B23" s="75"/>
      <c r="C23" s="11" t="s">
        <v>284</v>
      </c>
      <c r="D23" s="176" t="e">
        <f>IF(Inputs!F58="N/A",0,Inputs!F58*Inputs!F56)</f>
        <v>#VALUE!</v>
      </c>
      <c r="E23" s="75"/>
      <c r="F23" s="75"/>
      <c r="G23" s="75"/>
      <c r="H23" s="75"/>
      <c r="I23" s="75"/>
      <c r="J23" s="75"/>
      <c r="K23" s="75"/>
      <c r="L23" s="75"/>
      <c r="M23" s="75"/>
      <c r="N23" s="75"/>
      <c r="O23" s="75"/>
      <c r="P23" s="75"/>
      <c r="Q23" s="75"/>
      <c r="R23" s="75"/>
      <c r="S23" s="75"/>
      <c r="T23" s="75"/>
      <c r="U23" s="75"/>
      <c r="V23" s="75"/>
      <c r="W23" s="75"/>
      <c r="X23" s="75"/>
      <c r="Y23" s="75"/>
      <c r="Z23" s="75"/>
    </row>
    <row r="24" spans="1:26" ht="15">
      <c r="A24" s="75"/>
      <c r="B24" s="75"/>
      <c r="C24" s="11" t="s">
        <v>285</v>
      </c>
      <c r="D24" s="176" t="e">
        <f>IF(Inputs!F59="N/A",0,Inputs!F59*Inputs!F56)</f>
        <v>#VALUE!</v>
      </c>
      <c r="E24" s="75"/>
      <c r="F24" s="273" t="s">
        <v>103</v>
      </c>
      <c r="G24" s="274"/>
      <c r="H24" s="75"/>
      <c r="I24" s="75"/>
      <c r="J24" s="75"/>
      <c r="K24" s="75"/>
      <c r="L24" s="75"/>
      <c r="M24" s="75"/>
      <c r="N24" s="75"/>
      <c r="O24" s="75"/>
      <c r="P24" s="75"/>
      <c r="Q24" s="75"/>
      <c r="R24" s="75"/>
      <c r="S24" s="75"/>
      <c r="T24" s="75"/>
      <c r="U24" s="75"/>
      <c r="V24" s="75"/>
      <c r="W24" s="75"/>
      <c r="X24" s="75"/>
      <c r="Y24" s="75"/>
      <c r="Z24" s="75"/>
    </row>
    <row r="25" spans="1:26" ht="15">
      <c r="A25" s="75"/>
      <c r="B25" s="75"/>
      <c r="C25" s="11" t="s">
        <v>286</v>
      </c>
      <c r="D25" s="176" t="e">
        <f>IF(Inputs!F59="N/A",0,Inputs!F59*Inputs!F56)</f>
        <v>#VALUE!</v>
      </c>
      <c r="E25" s="75"/>
      <c r="F25" s="5" t="str">
        <f>IF(Inputs!C114="","N/A",Inputs!C114)</f>
        <v>N/A</v>
      </c>
      <c r="G25" s="97">
        <f>Inputs!F114</f>
        <v>0</v>
      </c>
      <c r="H25" s="75"/>
      <c r="I25" s="75"/>
      <c r="J25" s="75"/>
      <c r="K25" s="75"/>
      <c r="L25" s="75"/>
      <c r="M25" s="75"/>
      <c r="N25" s="75"/>
      <c r="O25" s="75"/>
      <c r="P25" s="75"/>
      <c r="Q25" s="75"/>
      <c r="R25" s="75"/>
      <c r="S25" s="75"/>
      <c r="T25" s="75"/>
      <c r="U25" s="75"/>
      <c r="V25" s="75"/>
      <c r="W25" s="75"/>
      <c r="X25" s="75"/>
      <c r="Y25" s="75"/>
      <c r="Z25" s="75"/>
    </row>
    <row r="26" spans="1:26" ht="15.75" thickBot="1">
      <c r="A26" s="75"/>
      <c r="B26" s="75"/>
      <c r="C26" s="11" t="s">
        <v>250</v>
      </c>
      <c r="D26" s="176" t="e">
        <f>IF('Technical calculation'!D23="N/A",0,'Technical calculation'!D23*Inputs!F18)</f>
        <v>#VALUE!</v>
      </c>
      <c r="E26" s="75"/>
      <c r="F26" s="6" t="str">
        <f>IF(Inputs!C115="","N/A",Inputs!C115)</f>
        <v>N/A</v>
      </c>
      <c r="G26" s="96">
        <f>Inputs!F115</f>
        <v>0</v>
      </c>
      <c r="H26" s="75"/>
      <c r="I26" s="75"/>
      <c r="J26" s="75"/>
      <c r="K26" s="75"/>
      <c r="L26" s="75"/>
      <c r="M26" s="75"/>
      <c r="N26" s="75"/>
      <c r="O26" s="75"/>
      <c r="P26" s="75"/>
      <c r="Q26" s="75"/>
      <c r="R26" s="75"/>
      <c r="S26" s="75"/>
      <c r="T26" s="75"/>
      <c r="U26" s="75"/>
      <c r="V26" s="75"/>
      <c r="W26" s="75"/>
      <c r="X26" s="75"/>
      <c r="Y26" s="75"/>
      <c r="Z26" s="75"/>
    </row>
    <row r="27" spans="1:26" ht="15.75" thickBot="1">
      <c r="A27" s="75"/>
      <c r="B27" s="75"/>
      <c r="C27" s="11" t="s">
        <v>99</v>
      </c>
      <c r="D27" s="182" t="e">
        <f>IF('Technical calculation'!D24="N/A",0,'Technical calculation'!D24*Inputs!F17)</f>
        <v>#VALUE!</v>
      </c>
      <c r="E27" s="75"/>
      <c r="F27" s="75"/>
      <c r="G27" s="75"/>
      <c r="H27" s="75"/>
      <c r="I27" s="75"/>
      <c r="J27" s="75"/>
      <c r="K27" s="75"/>
      <c r="L27" s="75"/>
      <c r="M27" s="75"/>
      <c r="N27" s="75"/>
      <c r="O27" s="75"/>
      <c r="P27" s="75"/>
      <c r="Q27" s="75"/>
      <c r="R27" s="75"/>
      <c r="S27" s="75"/>
      <c r="T27" s="75"/>
      <c r="U27" s="75"/>
      <c r="V27" s="75"/>
      <c r="W27" s="75"/>
      <c r="X27" s="75"/>
      <c r="Y27" s="75"/>
      <c r="Z27" s="75"/>
    </row>
    <row r="28" spans="1:26" ht="15.75" thickBot="1">
      <c r="A28" s="75"/>
      <c r="B28" s="75"/>
      <c r="C28" s="12" t="s">
        <v>100</v>
      </c>
      <c r="D28" s="103" t="e">
        <f>IF('Technical calculation'!D25="N/A",0,'Technical calculation'!D25*Inputs!F16)</f>
        <v>#VALUE!</v>
      </c>
      <c r="E28" s="75"/>
      <c r="F28" s="273" t="s">
        <v>104</v>
      </c>
      <c r="G28" s="274"/>
      <c r="H28" s="75"/>
      <c r="I28" s="75"/>
      <c r="J28" s="75"/>
      <c r="K28" s="75"/>
      <c r="L28" s="75"/>
      <c r="M28" s="75"/>
      <c r="N28" s="75"/>
      <c r="O28" s="75"/>
      <c r="P28" s="75"/>
      <c r="Q28" s="75"/>
      <c r="R28" s="75"/>
      <c r="S28" s="75"/>
      <c r="T28" s="75"/>
      <c r="U28" s="75"/>
      <c r="V28" s="75"/>
      <c r="W28" s="75"/>
      <c r="X28" s="75"/>
      <c r="Y28" s="75"/>
      <c r="Z28" s="75"/>
    </row>
    <row r="29" spans="1:26" ht="15.75" thickBot="1">
      <c r="A29" s="75"/>
      <c r="B29" s="75"/>
      <c r="C29" s="75"/>
      <c r="D29" s="75"/>
      <c r="E29" s="75"/>
      <c r="F29" s="5" t="str">
        <f>IF(Inputs!C118="","N/A",Inputs!C118)</f>
        <v>N/A</v>
      </c>
      <c r="G29" s="97">
        <f>Inputs!F118</f>
        <v>0</v>
      </c>
      <c r="H29" s="75"/>
      <c r="I29" s="75"/>
      <c r="J29" s="75"/>
      <c r="K29" s="75"/>
      <c r="L29" s="75"/>
      <c r="M29" s="75"/>
      <c r="N29" s="75"/>
      <c r="O29" s="75"/>
      <c r="P29" s="75"/>
      <c r="Q29" s="75"/>
      <c r="R29" s="75"/>
      <c r="S29" s="75"/>
      <c r="T29" s="75"/>
      <c r="U29" s="75"/>
      <c r="V29" s="75"/>
      <c r="W29" s="75"/>
      <c r="X29" s="75"/>
      <c r="Y29" s="75"/>
      <c r="Z29" s="75"/>
    </row>
    <row r="30" spans="1:26" ht="15.75" thickBot="1">
      <c r="A30" s="75"/>
      <c r="B30" s="75"/>
      <c r="C30" s="268" t="s">
        <v>180</v>
      </c>
      <c r="D30" s="269"/>
      <c r="E30" s="75"/>
      <c r="F30" s="6" t="str">
        <f>IF(Inputs!C119="","N/A",Inputs!C119)</f>
        <v>N/A</v>
      </c>
      <c r="G30" s="96">
        <f>Inputs!F119</f>
        <v>0</v>
      </c>
      <c r="H30" s="75"/>
      <c r="I30" s="75"/>
      <c r="J30" s="75"/>
      <c r="K30" s="75"/>
      <c r="L30" s="75"/>
      <c r="M30" s="75"/>
      <c r="N30" s="75"/>
      <c r="O30" s="75"/>
      <c r="P30" s="75"/>
      <c r="Q30" s="75"/>
      <c r="R30" s="75"/>
      <c r="S30" s="75"/>
      <c r="T30" s="75"/>
      <c r="U30" s="75"/>
      <c r="V30" s="75"/>
      <c r="W30" s="75"/>
      <c r="X30" s="75"/>
      <c r="Y30" s="75"/>
      <c r="Z30" s="75"/>
    </row>
    <row r="31" spans="1:26" ht="15">
      <c r="A31" s="75"/>
      <c r="B31" s="75"/>
      <c r="C31" s="5" t="s">
        <v>251</v>
      </c>
      <c r="D31" s="183" t="e">
        <f>'Technical calculation'!D28*Inputs!F21</f>
        <v>#VALUE!</v>
      </c>
      <c r="E31" s="75"/>
      <c r="F31" s="75"/>
      <c r="G31" s="75"/>
      <c r="H31" s="75"/>
      <c r="I31" s="75"/>
      <c r="J31" s="75"/>
      <c r="K31" s="75"/>
      <c r="L31" s="75"/>
      <c r="M31" s="75"/>
      <c r="N31" s="75"/>
      <c r="O31" s="75"/>
      <c r="P31" s="75"/>
      <c r="Q31" s="75"/>
      <c r="R31" s="75"/>
      <c r="S31" s="75"/>
      <c r="T31" s="75"/>
      <c r="U31" s="75"/>
      <c r="V31" s="75"/>
      <c r="W31" s="75"/>
      <c r="X31" s="75"/>
      <c r="Y31" s="75"/>
      <c r="Z31" s="75"/>
    </row>
    <row r="32" spans="1:26" ht="15">
      <c r="A32" s="75"/>
      <c r="B32" s="75"/>
      <c r="C32" s="5" t="s">
        <v>174</v>
      </c>
      <c r="D32" s="102" t="e">
        <f>'Technical calculation'!D29*Inputs!F22</f>
        <v>#VALUE!</v>
      </c>
      <c r="E32" s="75"/>
      <c r="F32" s="75"/>
      <c r="G32" s="75"/>
      <c r="H32" s="75"/>
      <c r="I32" s="75"/>
      <c r="J32" s="75"/>
      <c r="K32" s="75"/>
      <c r="L32" s="75"/>
      <c r="M32" s="75"/>
      <c r="N32" s="75"/>
      <c r="O32" s="75"/>
      <c r="P32" s="75"/>
      <c r="Q32" s="75"/>
      <c r="R32" s="75"/>
      <c r="S32" s="75"/>
      <c r="T32" s="75"/>
      <c r="U32" s="75"/>
      <c r="V32" s="75"/>
      <c r="W32" s="75"/>
      <c r="X32" s="75"/>
      <c r="Y32" s="75"/>
      <c r="Z32" s="75"/>
    </row>
    <row r="33" spans="1:26" ht="15.75" thickBot="1">
      <c r="A33" s="75"/>
      <c r="B33" s="75"/>
      <c r="C33" s="6" t="s">
        <v>173</v>
      </c>
      <c r="D33" s="103" t="e">
        <f>'Technical calculation'!D30*Inputs!F22</f>
        <v>#VALUE!</v>
      </c>
      <c r="E33" s="75"/>
      <c r="F33" s="75"/>
      <c r="G33" s="75"/>
      <c r="H33" s="75"/>
      <c r="I33" s="75"/>
      <c r="J33" s="75"/>
      <c r="K33" s="75"/>
      <c r="L33" s="75"/>
      <c r="M33" s="75"/>
      <c r="N33" s="75"/>
      <c r="O33" s="75"/>
      <c r="P33" s="75"/>
      <c r="Q33" s="75"/>
      <c r="R33" s="75"/>
      <c r="S33" s="75"/>
      <c r="T33" s="75"/>
      <c r="U33" s="75"/>
      <c r="V33" s="75"/>
      <c r="W33" s="75"/>
      <c r="X33" s="75"/>
      <c r="Y33" s="75"/>
      <c r="Z33" s="75"/>
    </row>
    <row r="34" spans="1:26" ht="15.75" thickBo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5">
      <c r="A35" s="75"/>
      <c r="B35" s="75"/>
      <c r="C35" s="273" t="s">
        <v>103</v>
      </c>
      <c r="D35" s="274"/>
      <c r="E35" s="75"/>
      <c r="F35" s="75"/>
      <c r="G35" s="75"/>
      <c r="H35" s="75"/>
      <c r="I35" s="75"/>
      <c r="J35" s="75"/>
      <c r="K35" s="75"/>
      <c r="L35" s="75"/>
      <c r="M35" s="75"/>
      <c r="N35" s="75"/>
      <c r="O35" s="75"/>
      <c r="P35" s="75"/>
      <c r="Q35" s="75"/>
      <c r="R35" s="75"/>
      <c r="S35" s="75"/>
      <c r="T35" s="75"/>
      <c r="U35" s="75"/>
      <c r="V35" s="75"/>
      <c r="W35" s="75"/>
      <c r="X35" s="75"/>
      <c r="Y35" s="75"/>
      <c r="Z35" s="75"/>
    </row>
    <row r="36" spans="1:26" ht="15">
      <c r="A36" s="75"/>
      <c r="B36" s="75"/>
      <c r="C36" s="5" t="str">
        <f>IF(Inputs!C81="","N/A",Inputs!C81)</f>
        <v>N/A</v>
      </c>
      <c r="D36" s="97">
        <f>Inputs!F81</f>
        <v>0</v>
      </c>
      <c r="E36" s="75"/>
      <c r="F36" s="75"/>
      <c r="G36" s="75"/>
      <c r="H36" s="75"/>
      <c r="I36" s="75"/>
      <c r="J36" s="75"/>
      <c r="K36" s="75"/>
      <c r="L36" s="75"/>
      <c r="M36" s="75"/>
      <c r="N36" s="75"/>
      <c r="O36" s="75"/>
      <c r="P36" s="75"/>
      <c r="Q36" s="75"/>
      <c r="R36" s="75"/>
      <c r="S36" s="75"/>
      <c r="T36" s="75"/>
      <c r="U36" s="75"/>
      <c r="V36" s="75"/>
      <c r="W36" s="75"/>
      <c r="X36" s="75"/>
      <c r="Y36" s="75"/>
      <c r="Z36" s="75"/>
    </row>
    <row r="37" spans="1:26" ht="15.75" thickBot="1">
      <c r="A37" s="75"/>
      <c r="B37" s="75"/>
      <c r="C37" s="6" t="str">
        <f>IF(Inputs!C82="","N/A",Inputs!C82)</f>
        <v>N/A</v>
      </c>
      <c r="D37" s="96">
        <f>Inputs!F82</f>
        <v>0</v>
      </c>
      <c r="E37" s="75"/>
      <c r="F37" s="75"/>
      <c r="G37" s="75"/>
      <c r="H37" s="75"/>
      <c r="I37" s="75"/>
      <c r="J37" s="75"/>
      <c r="K37" s="75"/>
      <c r="L37" s="75"/>
      <c r="M37" s="75"/>
      <c r="N37" s="75"/>
      <c r="O37" s="75"/>
      <c r="P37" s="75"/>
      <c r="Q37" s="75"/>
      <c r="R37" s="75"/>
      <c r="S37" s="75"/>
      <c r="T37" s="75"/>
      <c r="U37" s="75"/>
      <c r="V37" s="75"/>
      <c r="W37" s="75"/>
      <c r="X37" s="75"/>
      <c r="Y37" s="75"/>
      <c r="Z37" s="75"/>
    </row>
    <row r="38" spans="1:26" ht="15.75" thickBo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ht="15">
      <c r="A39" s="75"/>
      <c r="B39" s="75"/>
      <c r="C39" s="273" t="s">
        <v>104</v>
      </c>
      <c r="D39" s="274"/>
      <c r="E39" s="75"/>
      <c r="F39" s="75"/>
      <c r="G39" s="75"/>
      <c r="H39" s="75"/>
      <c r="I39" s="75"/>
      <c r="J39" s="75"/>
      <c r="K39" s="75"/>
      <c r="L39" s="75"/>
      <c r="M39" s="75"/>
      <c r="N39" s="75"/>
      <c r="O39" s="75"/>
      <c r="P39" s="75"/>
      <c r="Q39" s="75"/>
      <c r="R39" s="75"/>
      <c r="S39" s="75"/>
      <c r="T39" s="75"/>
      <c r="U39" s="75"/>
      <c r="V39" s="75"/>
      <c r="W39" s="75"/>
      <c r="X39" s="75"/>
      <c r="Y39" s="75"/>
      <c r="Z39" s="75"/>
    </row>
    <row r="40" spans="1:26" ht="15">
      <c r="A40" s="75"/>
      <c r="B40" s="75"/>
      <c r="C40" s="5" t="str">
        <f>IF(Inputs!C85="","N/A",Inputs!C85)</f>
        <v>N/A</v>
      </c>
      <c r="D40" s="97">
        <f>Inputs!F85</f>
        <v>0</v>
      </c>
      <c r="E40" s="75"/>
      <c r="F40" s="75"/>
      <c r="G40" s="75"/>
      <c r="H40" s="75"/>
      <c r="I40" s="75"/>
      <c r="J40" s="75"/>
      <c r="K40" s="75"/>
      <c r="L40" s="75"/>
      <c r="M40" s="75"/>
      <c r="N40" s="75"/>
      <c r="O40" s="75"/>
      <c r="P40" s="75"/>
      <c r="Q40" s="75"/>
      <c r="R40" s="75"/>
      <c r="S40" s="75"/>
      <c r="T40" s="75"/>
      <c r="U40" s="75"/>
      <c r="V40" s="75"/>
      <c r="W40" s="75"/>
      <c r="X40" s="75"/>
      <c r="Y40" s="75"/>
      <c r="Z40" s="75"/>
    </row>
    <row r="41" spans="1:26" ht="15.75" thickBot="1">
      <c r="A41" s="75"/>
      <c r="B41" s="75"/>
      <c r="C41" s="6" t="str">
        <f>IF(Inputs!C86="","N/A",Inputs!C86)</f>
        <v>N/A</v>
      </c>
      <c r="D41" s="96">
        <f>Inputs!F86</f>
        <v>0</v>
      </c>
      <c r="E41" s="75"/>
      <c r="F41" s="75"/>
      <c r="G41" s="75"/>
      <c r="H41" s="75"/>
      <c r="I41" s="75"/>
      <c r="J41" s="75"/>
      <c r="K41" s="75"/>
      <c r="L41" s="75"/>
      <c r="M41" s="75"/>
      <c r="N41" s="75"/>
      <c r="O41" s="75"/>
      <c r="P41" s="75"/>
      <c r="Q41" s="75"/>
      <c r="R41" s="75"/>
      <c r="S41" s="75"/>
      <c r="T41" s="75"/>
      <c r="U41" s="75"/>
      <c r="V41" s="75"/>
      <c r="W41" s="75"/>
      <c r="X41" s="75"/>
      <c r="Y41" s="75"/>
      <c r="Z41" s="75"/>
    </row>
    <row r="42" spans="1:26" ht="15.75" thickBo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ht="15">
      <c r="A43" s="75"/>
      <c r="B43" s="75"/>
      <c r="C43" s="273" t="s">
        <v>98</v>
      </c>
      <c r="D43" s="274"/>
      <c r="E43" s="75"/>
      <c r="F43" s="75"/>
      <c r="G43" s="75"/>
      <c r="H43" s="75"/>
      <c r="I43" s="75"/>
      <c r="J43" s="75"/>
      <c r="K43" s="75"/>
      <c r="L43" s="75"/>
      <c r="M43" s="75"/>
      <c r="N43" s="75"/>
      <c r="O43" s="75"/>
      <c r="P43" s="75"/>
      <c r="Q43" s="75"/>
      <c r="R43" s="75"/>
      <c r="S43" s="75"/>
      <c r="T43" s="75"/>
      <c r="U43" s="75"/>
      <c r="V43" s="75"/>
      <c r="W43" s="75"/>
      <c r="X43" s="75"/>
      <c r="Y43" s="75"/>
      <c r="Z43" s="75"/>
    </row>
    <row r="44" spans="1:26" ht="15">
      <c r="A44" s="75"/>
      <c r="B44" s="75"/>
      <c r="C44" s="5" t="s">
        <v>101</v>
      </c>
      <c r="D44" s="97">
        <f>_xlfn.IFERROR('Technical calculation'!D22*Inputs!F63,0)</f>
        <v>0</v>
      </c>
      <c r="E44" s="75"/>
      <c r="F44" s="75"/>
      <c r="G44" s="75"/>
      <c r="H44" s="75"/>
      <c r="I44" s="75"/>
      <c r="J44" s="75"/>
      <c r="K44" s="75"/>
      <c r="L44" s="75"/>
      <c r="M44" s="75"/>
      <c r="N44" s="75"/>
      <c r="O44" s="75"/>
      <c r="P44" s="75"/>
      <c r="Q44" s="75"/>
      <c r="R44" s="75"/>
      <c r="S44" s="75"/>
      <c r="T44" s="75"/>
      <c r="U44" s="75"/>
      <c r="V44" s="75"/>
      <c r="W44" s="75"/>
      <c r="X44" s="75"/>
      <c r="Y44" s="75"/>
      <c r="Z44" s="75"/>
    </row>
    <row r="45" spans="1:26" ht="15">
      <c r="A45" s="75"/>
      <c r="B45" s="75"/>
      <c r="C45" s="5" t="s">
        <v>124</v>
      </c>
      <c r="D45" s="97">
        <f>_xlfn.IFERROR('Technical calculation'!D33*Inputs!F75,0)</f>
        <v>0</v>
      </c>
      <c r="E45" s="75"/>
      <c r="F45" s="75"/>
      <c r="G45" s="75"/>
      <c r="H45" s="75"/>
      <c r="I45" s="75"/>
      <c r="J45" s="75"/>
      <c r="K45" s="75"/>
      <c r="L45" s="75"/>
      <c r="M45" s="75"/>
      <c r="N45" s="75"/>
      <c r="O45" s="75"/>
      <c r="P45" s="75"/>
      <c r="Q45" s="75"/>
      <c r="R45" s="75"/>
      <c r="S45" s="75"/>
      <c r="T45" s="75"/>
      <c r="U45" s="75"/>
      <c r="V45" s="75"/>
      <c r="W45" s="75"/>
      <c r="X45" s="75"/>
      <c r="Y45" s="75"/>
      <c r="Z45" s="75"/>
    </row>
    <row r="46" spans="1:26" ht="15">
      <c r="A46" s="75"/>
      <c r="B46" s="75"/>
      <c r="C46" s="5" t="s">
        <v>125</v>
      </c>
      <c r="D46" s="97">
        <f>_xlfn.IFERROR('Technical calculation'!D33*Inputs!F76,0)</f>
        <v>0</v>
      </c>
      <c r="E46" s="75"/>
      <c r="F46" s="75"/>
      <c r="G46" s="75"/>
      <c r="H46" s="75"/>
      <c r="I46" s="75"/>
      <c r="J46" s="75"/>
      <c r="K46" s="75"/>
      <c r="L46" s="75"/>
      <c r="M46" s="75"/>
      <c r="N46" s="75"/>
      <c r="O46" s="75"/>
      <c r="P46" s="75"/>
      <c r="Q46" s="75"/>
      <c r="R46" s="75"/>
      <c r="S46" s="75"/>
      <c r="T46" s="75"/>
      <c r="U46" s="75"/>
      <c r="V46" s="75"/>
      <c r="W46" s="75"/>
      <c r="X46" s="75"/>
      <c r="Y46" s="75"/>
      <c r="Z46" s="75"/>
    </row>
    <row r="47" spans="1:26" ht="15">
      <c r="A47" s="75"/>
      <c r="B47" s="75"/>
      <c r="C47" s="5" t="s">
        <v>126</v>
      </c>
      <c r="D47" s="97">
        <f>_xlfn.IFERROR('Technical calculation'!D34*Inputs!F77,0)</f>
        <v>0</v>
      </c>
      <c r="E47" s="75"/>
      <c r="F47" s="75"/>
      <c r="G47" s="75"/>
      <c r="H47" s="75"/>
      <c r="I47" s="75"/>
      <c r="J47" s="75"/>
      <c r="K47" s="75"/>
      <c r="L47" s="75"/>
      <c r="M47" s="75"/>
      <c r="N47" s="75"/>
      <c r="O47" s="75"/>
      <c r="P47" s="75"/>
      <c r="Q47" s="75"/>
      <c r="R47" s="75"/>
      <c r="S47" s="75"/>
      <c r="T47" s="75"/>
      <c r="U47" s="75"/>
      <c r="V47" s="75"/>
      <c r="W47" s="75"/>
      <c r="X47" s="75"/>
      <c r="Y47" s="75"/>
      <c r="Z47" s="75"/>
    </row>
    <row r="48" spans="1:26" ht="15.75" thickBot="1">
      <c r="A48" s="75"/>
      <c r="B48" s="75"/>
      <c r="C48" s="6" t="s">
        <v>127</v>
      </c>
      <c r="D48" s="96">
        <f>_xlfn.IFERROR('Technical calculation'!D33*Inputs!F78,0)</f>
        <v>0</v>
      </c>
      <c r="E48" s="75"/>
      <c r="F48" s="75"/>
      <c r="G48" s="75"/>
      <c r="H48" s="75"/>
      <c r="I48" s="75"/>
      <c r="J48" s="75"/>
      <c r="K48" s="75"/>
      <c r="L48" s="75"/>
      <c r="M48" s="75"/>
      <c r="N48" s="75"/>
      <c r="O48" s="75"/>
      <c r="P48" s="75"/>
      <c r="Q48" s="75"/>
      <c r="R48" s="75"/>
      <c r="S48" s="75"/>
      <c r="T48" s="75"/>
      <c r="U48" s="75"/>
      <c r="V48" s="75"/>
      <c r="W48" s="75"/>
      <c r="X48" s="75"/>
      <c r="Y48" s="75"/>
      <c r="Z48" s="75"/>
    </row>
    <row r="49" spans="1:26" ht="15.75" thickBo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ht="15">
      <c r="A50" s="75"/>
      <c r="B50" s="75"/>
      <c r="C50" s="273" t="s">
        <v>108</v>
      </c>
      <c r="D50" s="274"/>
      <c r="E50" s="75"/>
      <c r="F50" s="273" t="s">
        <v>109</v>
      </c>
      <c r="G50" s="274"/>
      <c r="H50" s="75"/>
      <c r="I50" s="75"/>
      <c r="J50" s="75"/>
      <c r="K50" s="75"/>
      <c r="L50" s="75"/>
      <c r="M50" s="75"/>
      <c r="N50" s="75"/>
      <c r="O50" s="75"/>
      <c r="P50" s="75"/>
      <c r="Q50" s="75"/>
      <c r="R50" s="75"/>
      <c r="S50" s="75"/>
      <c r="T50" s="75"/>
      <c r="U50" s="75"/>
      <c r="V50" s="75"/>
      <c r="W50" s="75"/>
      <c r="X50" s="75"/>
      <c r="Y50" s="75"/>
      <c r="Z50" s="75"/>
    </row>
    <row r="51" spans="1:26" ht="15">
      <c r="A51" s="75"/>
      <c r="B51" s="75"/>
      <c r="C51" s="5" t="s">
        <v>105</v>
      </c>
      <c r="D51" s="184" t="e">
        <f>D8+D9+D22+D23+D32+D36+D37</f>
        <v>#VALUE!</v>
      </c>
      <c r="E51" s="75"/>
      <c r="F51" s="5" t="s">
        <v>110</v>
      </c>
      <c r="G51" s="98" t="str">
        <f>_xlfn.IFERROR(G8+G9+G25+G26,"N/A")</f>
        <v>N/A</v>
      </c>
      <c r="H51" s="75"/>
      <c r="I51" s="75"/>
      <c r="J51" s="75"/>
      <c r="K51" s="75"/>
      <c r="L51" s="75"/>
      <c r="M51" s="75"/>
      <c r="N51" s="75"/>
      <c r="O51" s="75"/>
      <c r="P51" s="75"/>
      <c r="Q51" s="75"/>
      <c r="R51" s="75"/>
      <c r="S51" s="75"/>
      <c r="T51" s="75"/>
      <c r="U51" s="75"/>
      <c r="V51" s="75"/>
      <c r="W51" s="75"/>
      <c r="X51" s="75"/>
      <c r="Y51" s="75"/>
      <c r="Z51" s="75"/>
    </row>
    <row r="52" spans="1:26" ht="15">
      <c r="A52" s="75"/>
      <c r="B52" s="75"/>
      <c r="C52" s="5" t="s">
        <v>106</v>
      </c>
      <c r="D52" s="184" t="e">
        <f>D10+D11+D12+D13+D14+D17+D18+D19+D24+D25+D26+D27+D31+D33+D28+D40+D41</f>
        <v>#VALUE!</v>
      </c>
      <c r="E52" s="75"/>
      <c r="F52" s="5" t="s">
        <v>111</v>
      </c>
      <c r="G52" s="98" t="str">
        <f>_xlfn.IFERROR(G10+G11+G12+G13+G16+G17+G18+G21+G22+G29+G30,"N/A")</f>
        <v>N/A</v>
      </c>
      <c r="H52" s="75"/>
      <c r="I52" s="75"/>
      <c r="J52" s="75"/>
      <c r="K52" s="75"/>
      <c r="L52" s="75"/>
      <c r="M52" s="75"/>
      <c r="N52" s="75"/>
      <c r="O52" s="75"/>
      <c r="P52" s="75"/>
      <c r="Q52" s="75"/>
      <c r="R52" s="75"/>
      <c r="S52" s="75"/>
      <c r="T52" s="75"/>
      <c r="U52" s="75"/>
      <c r="V52" s="75"/>
      <c r="W52" s="75"/>
      <c r="X52" s="75"/>
      <c r="Y52" s="75"/>
      <c r="Z52" s="75"/>
    </row>
    <row r="53" spans="1:26" ht="15">
      <c r="A53" s="75"/>
      <c r="B53" s="75"/>
      <c r="C53" s="5" t="s">
        <v>107</v>
      </c>
      <c r="D53" s="178">
        <f>SUM(D44:D48)</f>
        <v>0</v>
      </c>
      <c r="E53" s="75"/>
      <c r="F53" s="5" t="s">
        <v>112</v>
      </c>
      <c r="G53" s="179">
        <v>0</v>
      </c>
      <c r="H53" s="75"/>
      <c r="I53" s="75"/>
      <c r="J53" s="75"/>
      <c r="K53" s="75"/>
      <c r="L53" s="75"/>
      <c r="M53" s="75"/>
      <c r="N53" s="75"/>
      <c r="O53" s="75"/>
      <c r="P53" s="75"/>
      <c r="Q53" s="75"/>
      <c r="R53" s="75"/>
      <c r="S53" s="75"/>
      <c r="T53" s="75"/>
      <c r="U53" s="75"/>
      <c r="V53" s="75"/>
      <c r="W53" s="75"/>
      <c r="X53" s="75"/>
      <c r="Y53" s="75"/>
      <c r="Z53" s="75"/>
    </row>
    <row r="54" spans="1:26" ht="15.75" thickBot="1">
      <c r="A54" s="75"/>
      <c r="B54" s="75"/>
      <c r="C54" s="12" t="s">
        <v>308</v>
      </c>
      <c r="D54" s="180" t="e">
        <f>D51+(10*D52)-D53</f>
        <v>#VALUE!</v>
      </c>
      <c r="E54" s="75"/>
      <c r="F54" s="12" t="s">
        <v>307</v>
      </c>
      <c r="G54" s="99" t="str">
        <f>_xlfn.IFERROR(G51+(10*G52)-G53,"N/A")</f>
        <v>N/A</v>
      </c>
      <c r="H54" s="75"/>
      <c r="I54" s="75"/>
      <c r="J54" s="75"/>
      <c r="K54" s="75"/>
      <c r="L54" s="75"/>
      <c r="M54" s="75"/>
      <c r="N54" s="75"/>
      <c r="O54" s="75"/>
      <c r="P54" s="75"/>
      <c r="Q54" s="75"/>
      <c r="R54" s="75"/>
      <c r="S54" s="75"/>
      <c r="T54" s="75"/>
      <c r="U54" s="75"/>
      <c r="V54" s="75"/>
      <c r="W54" s="75"/>
      <c r="X54" s="75"/>
      <c r="Y54" s="75"/>
      <c r="Z54" s="75"/>
    </row>
    <row r="55" spans="1:26" ht="1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spans="1:26" ht="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1:26" ht="1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spans="1:26" ht="1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spans="1:26" ht="1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sheetData>
  <sheetProtection sheet="1" objects="1" scenarios="1" formatColumns="0"/>
  <mergeCells count="18">
    <mergeCell ref="C16:D16"/>
    <mergeCell ref="F15:G15"/>
    <mergeCell ref="C4:F4"/>
    <mergeCell ref="C2:F2"/>
    <mergeCell ref="C6:D6"/>
    <mergeCell ref="F6:G6"/>
    <mergeCell ref="C7:D7"/>
    <mergeCell ref="F7:G7"/>
    <mergeCell ref="F20:G20"/>
    <mergeCell ref="C50:D50"/>
    <mergeCell ref="F50:G50"/>
    <mergeCell ref="C21:D21"/>
    <mergeCell ref="C39:D39"/>
    <mergeCell ref="C35:D35"/>
    <mergeCell ref="C43:D43"/>
    <mergeCell ref="C30:D30"/>
    <mergeCell ref="F24:G24"/>
    <mergeCell ref="F28:G2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2:N115"/>
  <sheetViews>
    <sheetView zoomScalePageLayoutView="0" workbookViewId="0" topLeftCell="A1">
      <selection activeCell="C3" sqref="C3:F3"/>
    </sheetView>
  </sheetViews>
  <sheetFormatPr defaultColWidth="9.140625" defaultRowHeight="15"/>
  <cols>
    <col min="1" max="1" width="9.140625" style="75" customWidth="1"/>
    <col min="2" max="2" width="2.8515625" style="75" customWidth="1"/>
    <col min="3" max="16384" width="9.140625" style="75" customWidth="1"/>
  </cols>
  <sheetData>
    <row r="2" spans="3:14" ht="26.25">
      <c r="C2" s="239" t="str">
        <f>Inputs!C2</f>
        <v>Resource Efficient Scotland - Hospital food waste disposal calculator </v>
      </c>
      <c r="D2" s="239"/>
      <c r="E2" s="239"/>
      <c r="F2" s="239"/>
      <c r="G2" s="239"/>
      <c r="H2" s="239"/>
      <c r="I2" s="239"/>
      <c r="J2" s="239"/>
      <c r="K2" s="239"/>
      <c r="L2" s="239"/>
      <c r="M2" s="239"/>
      <c r="N2" s="239"/>
    </row>
    <row r="3" spans="3:6" ht="21">
      <c r="C3" s="240" t="s">
        <v>291</v>
      </c>
      <c r="D3" s="240"/>
      <c r="E3" s="240"/>
      <c r="F3" s="240"/>
    </row>
    <row r="4" spans="3:6" ht="21">
      <c r="C4" s="213"/>
      <c r="D4" s="213"/>
      <c r="E4" s="213"/>
      <c r="F4" s="213"/>
    </row>
    <row r="5" spans="3:14" ht="15" customHeight="1">
      <c r="C5" s="279" t="s">
        <v>253</v>
      </c>
      <c r="D5" s="279"/>
      <c r="E5" s="279"/>
      <c r="F5" s="279"/>
      <c r="G5" s="279"/>
      <c r="H5" s="279"/>
      <c r="I5" s="279"/>
      <c r="J5" s="279"/>
      <c r="K5" s="279"/>
      <c r="L5" s="279"/>
      <c r="M5" s="279"/>
      <c r="N5" s="279"/>
    </row>
    <row r="6" spans="3:14" ht="16.5" customHeight="1">
      <c r="C6" s="279"/>
      <c r="D6" s="279"/>
      <c r="E6" s="279"/>
      <c r="F6" s="279"/>
      <c r="G6" s="279"/>
      <c r="H6" s="279"/>
      <c r="I6" s="279"/>
      <c r="J6" s="279"/>
      <c r="K6" s="279"/>
      <c r="L6" s="279"/>
      <c r="M6" s="279"/>
      <c r="N6" s="279"/>
    </row>
    <row r="7" ht="15.75" thickBot="1"/>
    <row r="8" spans="3:12" ht="21">
      <c r="C8" s="277" t="s">
        <v>6</v>
      </c>
      <c r="D8" s="278"/>
      <c r="E8" s="278"/>
      <c r="F8" s="278"/>
      <c r="G8" s="18"/>
      <c r="H8" s="18"/>
      <c r="I8" s="18"/>
      <c r="J8" s="18"/>
      <c r="K8" s="18"/>
      <c r="L8" s="19"/>
    </row>
    <row r="9" spans="3:12" ht="15">
      <c r="C9" s="20"/>
      <c r="D9" s="21"/>
      <c r="E9" s="21"/>
      <c r="F9" s="21"/>
      <c r="G9" s="21"/>
      <c r="H9" s="21"/>
      <c r="I9" s="21"/>
      <c r="J9" s="21"/>
      <c r="K9" s="21"/>
      <c r="L9" s="22"/>
    </row>
    <row r="10" spans="3:12" ht="15">
      <c r="C10" s="20"/>
      <c r="D10" s="21"/>
      <c r="E10" s="21"/>
      <c r="F10" s="21"/>
      <c r="G10" s="21"/>
      <c r="H10" s="21"/>
      <c r="I10" s="21"/>
      <c r="J10" s="21"/>
      <c r="K10" s="21"/>
      <c r="L10" s="22"/>
    </row>
    <row r="11" spans="3:12" ht="15">
      <c r="C11" s="20"/>
      <c r="D11" s="21"/>
      <c r="E11" s="21"/>
      <c r="F11" s="21"/>
      <c r="G11" s="21"/>
      <c r="H11" s="21"/>
      <c r="I11" s="21"/>
      <c r="J11" s="21"/>
      <c r="K11" s="21"/>
      <c r="L11" s="22"/>
    </row>
    <row r="12" spans="3:12" ht="15">
      <c r="C12" s="20"/>
      <c r="D12" s="21"/>
      <c r="E12" s="21"/>
      <c r="F12" s="21"/>
      <c r="G12" s="21"/>
      <c r="H12" s="21"/>
      <c r="I12" s="21"/>
      <c r="J12" s="21"/>
      <c r="K12" s="21"/>
      <c r="L12" s="22"/>
    </row>
    <row r="13" spans="3:12" ht="15">
      <c r="C13" s="20"/>
      <c r="D13" s="21"/>
      <c r="E13" s="21"/>
      <c r="F13" s="21"/>
      <c r="G13" s="21"/>
      <c r="H13" s="21"/>
      <c r="I13" s="21"/>
      <c r="J13" s="21"/>
      <c r="K13" s="21"/>
      <c r="L13" s="22"/>
    </row>
    <row r="14" spans="3:12" ht="15">
      <c r="C14" s="20"/>
      <c r="D14" s="21"/>
      <c r="E14" s="21"/>
      <c r="F14" s="21"/>
      <c r="G14" s="21"/>
      <c r="H14" s="21"/>
      <c r="I14" s="21"/>
      <c r="J14" s="21"/>
      <c r="K14" s="21"/>
      <c r="L14" s="22"/>
    </row>
    <row r="15" spans="3:12" ht="15">
      <c r="C15" s="20"/>
      <c r="D15" s="21"/>
      <c r="E15" s="21"/>
      <c r="F15" s="21"/>
      <c r="G15" s="21"/>
      <c r="H15" s="21"/>
      <c r="I15" s="21"/>
      <c r="J15" s="21"/>
      <c r="K15" s="21"/>
      <c r="L15" s="22"/>
    </row>
    <row r="16" spans="3:12" ht="15">
      <c r="C16" s="20"/>
      <c r="D16" s="21"/>
      <c r="E16" s="21"/>
      <c r="F16" s="21"/>
      <c r="G16" s="21"/>
      <c r="H16" s="21"/>
      <c r="I16" s="21"/>
      <c r="J16" s="21"/>
      <c r="K16" s="21"/>
      <c r="L16" s="22"/>
    </row>
    <row r="17" spans="3:12" ht="15" customHeight="1">
      <c r="C17" s="280" t="s">
        <v>13</v>
      </c>
      <c r="D17" s="281"/>
      <c r="E17" s="281"/>
      <c r="F17" s="281"/>
      <c r="G17" s="281"/>
      <c r="H17" s="281"/>
      <c r="I17" s="281"/>
      <c r="J17" s="281"/>
      <c r="K17" s="281"/>
      <c r="L17" s="282"/>
    </row>
    <row r="18" spans="3:12" ht="15">
      <c r="C18" s="280"/>
      <c r="D18" s="281"/>
      <c r="E18" s="281"/>
      <c r="F18" s="281"/>
      <c r="G18" s="281"/>
      <c r="H18" s="281"/>
      <c r="I18" s="281"/>
      <c r="J18" s="281"/>
      <c r="K18" s="281"/>
      <c r="L18" s="282"/>
    </row>
    <row r="19" spans="3:12" ht="15">
      <c r="C19" s="280"/>
      <c r="D19" s="281"/>
      <c r="E19" s="281"/>
      <c r="F19" s="281"/>
      <c r="G19" s="281"/>
      <c r="H19" s="281"/>
      <c r="I19" s="281"/>
      <c r="J19" s="281"/>
      <c r="K19" s="281"/>
      <c r="L19" s="282"/>
    </row>
    <row r="20" spans="3:12" ht="15.75" thickBot="1">
      <c r="C20" s="283"/>
      <c r="D20" s="284"/>
      <c r="E20" s="284"/>
      <c r="F20" s="284"/>
      <c r="G20" s="284"/>
      <c r="H20" s="284"/>
      <c r="I20" s="284"/>
      <c r="J20" s="284"/>
      <c r="K20" s="284"/>
      <c r="L20" s="285"/>
    </row>
    <row r="21" spans="3:12" ht="15.75" thickBot="1">
      <c r="C21" s="104"/>
      <c r="D21" s="104"/>
      <c r="E21" s="104"/>
      <c r="F21" s="104"/>
      <c r="G21" s="104"/>
      <c r="H21" s="104"/>
      <c r="I21" s="104"/>
      <c r="J21" s="104"/>
      <c r="K21" s="104"/>
      <c r="L21" s="104"/>
    </row>
    <row r="22" spans="3:12" ht="21">
      <c r="C22" s="277" t="s">
        <v>7</v>
      </c>
      <c r="D22" s="278"/>
      <c r="E22" s="278"/>
      <c r="F22" s="278"/>
      <c r="G22" s="278"/>
      <c r="H22" s="18"/>
      <c r="I22" s="18"/>
      <c r="J22" s="18"/>
      <c r="K22" s="18"/>
      <c r="L22" s="19"/>
    </row>
    <row r="23" spans="3:12" ht="15">
      <c r="C23" s="20"/>
      <c r="D23" s="21"/>
      <c r="E23" s="21"/>
      <c r="F23" s="21"/>
      <c r="G23" s="21"/>
      <c r="H23" s="21"/>
      <c r="I23" s="21"/>
      <c r="J23" s="21"/>
      <c r="K23" s="21"/>
      <c r="L23" s="22"/>
    </row>
    <row r="24" spans="3:12" ht="15">
      <c r="C24" s="20"/>
      <c r="D24" s="21"/>
      <c r="E24" s="21"/>
      <c r="F24" s="21"/>
      <c r="G24" s="21"/>
      <c r="H24" s="21"/>
      <c r="I24" s="21"/>
      <c r="J24" s="21"/>
      <c r="K24" s="21"/>
      <c r="L24" s="22"/>
    </row>
    <row r="25" spans="3:12" ht="15">
      <c r="C25" s="20"/>
      <c r="D25" s="21"/>
      <c r="E25" s="21"/>
      <c r="F25" s="21"/>
      <c r="G25" s="21"/>
      <c r="H25" s="21"/>
      <c r="I25" s="21"/>
      <c r="J25" s="21"/>
      <c r="K25" s="21"/>
      <c r="L25" s="22"/>
    </row>
    <row r="26" spans="3:12" ht="15">
      <c r="C26" s="20"/>
      <c r="D26" s="21"/>
      <c r="E26" s="21"/>
      <c r="F26" s="21"/>
      <c r="G26" s="21"/>
      <c r="H26" s="21"/>
      <c r="I26" s="21"/>
      <c r="J26" s="21"/>
      <c r="K26" s="21"/>
      <c r="L26" s="22"/>
    </row>
    <row r="27" spans="3:12" ht="15">
      <c r="C27" s="20"/>
      <c r="D27" s="21"/>
      <c r="E27" s="21"/>
      <c r="F27" s="21"/>
      <c r="G27" s="21"/>
      <c r="H27" s="21"/>
      <c r="I27" s="21"/>
      <c r="J27" s="21"/>
      <c r="K27" s="21"/>
      <c r="L27" s="22"/>
    </row>
    <row r="28" spans="3:12" ht="15">
      <c r="C28" s="20"/>
      <c r="D28" s="21"/>
      <c r="E28" s="21"/>
      <c r="F28" s="21"/>
      <c r="G28" s="21"/>
      <c r="H28" s="21"/>
      <c r="I28" s="21"/>
      <c r="J28" s="21"/>
      <c r="K28" s="21"/>
      <c r="L28" s="22"/>
    </row>
    <row r="29" spans="3:12" ht="15">
      <c r="C29" s="20"/>
      <c r="D29" s="21"/>
      <c r="E29" s="21"/>
      <c r="F29" s="21"/>
      <c r="G29" s="21"/>
      <c r="H29" s="21"/>
      <c r="I29" s="21"/>
      <c r="J29" s="21"/>
      <c r="K29" s="21"/>
      <c r="L29" s="22"/>
    </row>
    <row r="30" spans="3:12" ht="15">
      <c r="C30" s="20"/>
      <c r="D30" s="21"/>
      <c r="E30" s="21"/>
      <c r="F30" s="21"/>
      <c r="G30" s="21"/>
      <c r="H30" s="21"/>
      <c r="I30" s="21"/>
      <c r="J30" s="21"/>
      <c r="K30" s="21"/>
      <c r="L30" s="22"/>
    </row>
    <row r="31" spans="3:12" ht="15">
      <c r="C31" s="20"/>
      <c r="D31" s="21"/>
      <c r="E31" s="21"/>
      <c r="F31" s="21"/>
      <c r="G31" s="21"/>
      <c r="H31" s="21"/>
      <c r="I31" s="21"/>
      <c r="J31" s="21"/>
      <c r="K31" s="21"/>
      <c r="L31" s="22"/>
    </row>
    <row r="32" spans="3:12" ht="15">
      <c r="C32" s="280" t="s">
        <v>14</v>
      </c>
      <c r="D32" s="281"/>
      <c r="E32" s="281"/>
      <c r="F32" s="281"/>
      <c r="G32" s="281"/>
      <c r="H32" s="281"/>
      <c r="I32" s="281"/>
      <c r="J32" s="281"/>
      <c r="K32" s="281"/>
      <c r="L32" s="282"/>
    </row>
    <row r="33" spans="3:12" ht="15">
      <c r="C33" s="280"/>
      <c r="D33" s="281"/>
      <c r="E33" s="281"/>
      <c r="F33" s="281"/>
      <c r="G33" s="281"/>
      <c r="H33" s="281"/>
      <c r="I33" s="281"/>
      <c r="J33" s="281"/>
      <c r="K33" s="281"/>
      <c r="L33" s="282"/>
    </row>
    <row r="34" spans="3:12" ht="15">
      <c r="C34" s="280"/>
      <c r="D34" s="281"/>
      <c r="E34" s="281"/>
      <c r="F34" s="281"/>
      <c r="G34" s="281"/>
      <c r="H34" s="281"/>
      <c r="I34" s="281"/>
      <c r="J34" s="281"/>
      <c r="K34" s="281"/>
      <c r="L34" s="282"/>
    </row>
    <row r="35" spans="3:12" ht="15.75" thickBot="1">
      <c r="C35" s="283"/>
      <c r="D35" s="284"/>
      <c r="E35" s="284"/>
      <c r="F35" s="284"/>
      <c r="G35" s="284"/>
      <c r="H35" s="284"/>
      <c r="I35" s="284"/>
      <c r="J35" s="284"/>
      <c r="K35" s="284"/>
      <c r="L35" s="285"/>
    </row>
    <row r="36" ht="15.75" thickBot="1"/>
    <row r="37" spans="3:12" ht="21">
      <c r="C37" s="277" t="s">
        <v>8</v>
      </c>
      <c r="D37" s="278"/>
      <c r="E37" s="278"/>
      <c r="F37" s="278"/>
      <c r="G37" s="278"/>
      <c r="H37" s="278"/>
      <c r="I37" s="278"/>
      <c r="J37" s="278"/>
      <c r="K37" s="18"/>
      <c r="L37" s="19"/>
    </row>
    <row r="38" spans="3:12" ht="15">
      <c r="C38" s="20"/>
      <c r="D38" s="21"/>
      <c r="E38" s="21"/>
      <c r="F38" s="21"/>
      <c r="G38" s="21"/>
      <c r="H38" s="21"/>
      <c r="I38" s="21"/>
      <c r="J38" s="21"/>
      <c r="K38" s="21"/>
      <c r="L38" s="22"/>
    </row>
    <row r="39" spans="3:12" ht="15">
      <c r="C39" s="20"/>
      <c r="D39" s="21"/>
      <c r="E39" s="21"/>
      <c r="F39" s="21"/>
      <c r="G39" s="21"/>
      <c r="H39" s="21"/>
      <c r="I39" s="21"/>
      <c r="J39" s="21"/>
      <c r="K39" s="21"/>
      <c r="L39" s="22"/>
    </row>
    <row r="40" spans="3:12" ht="15">
      <c r="C40" s="20"/>
      <c r="D40" s="21"/>
      <c r="E40" s="21"/>
      <c r="F40" s="21"/>
      <c r="G40" s="21"/>
      <c r="H40" s="21"/>
      <c r="I40" s="21"/>
      <c r="J40" s="21"/>
      <c r="K40" s="21"/>
      <c r="L40" s="22"/>
    </row>
    <row r="41" spans="3:12" ht="15">
      <c r="C41" s="20"/>
      <c r="D41" s="21"/>
      <c r="E41" s="21"/>
      <c r="F41" s="21"/>
      <c r="G41" s="21"/>
      <c r="H41" s="21"/>
      <c r="I41" s="21"/>
      <c r="J41" s="21"/>
      <c r="K41" s="21"/>
      <c r="L41" s="22"/>
    </row>
    <row r="42" spans="3:12" ht="15">
      <c r="C42" s="20"/>
      <c r="D42" s="21"/>
      <c r="E42" s="21"/>
      <c r="F42" s="21"/>
      <c r="G42" s="21"/>
      <c r="H42" s="21"/>
      <c r="I42" s="21"/>
      <c r="J42" s="21"/>
      <c r="K42" s="21"/>
      <c r="L42" s="22"/>
    </row>
    <row r="43" spans="3:12" ht="15">
      <c r="C43" s="20"/>
      <c r="D43" s="21"/>
      <c r="E43" s="21"/>
      <c r="F43" s="21"/>
      <c r="G43" s="21"/>
      <c r="H43" s="21"/>
      <c r="I43" s="21"/>
      <c r="J43" s="21"/>
      <c r="K43" s="21"/>
      <c r="L43" s="22"/>
    </row>
    <row r="44" spans="3:12" ht="15">
      <c r="C44" s="20"/>
      <c r="D44" s="21"/>
      <c r="E44" s="21"/>
      <c r="F44" s="21"/>
      <c r="G44" s="21"/>
      <c r="H44" s="21"/>
      <c r="I44" s="21"/>
      <c r="J44" s="21"/>
      <c r="K44" s="21"/>
      <c r="L44" s="22"/>
    </row>
    <row r="45" spans="3:12" ht="15">
      <c r="C45" s="20"/>
      <c r="D45" s="21"/>
      <c r="E45" s="21"/>
      <c r="F45" s="21"/>
      <c r="G45" s="21"/>
      <c r="H45" s="21"/>
      <c r="I45" s="21"/>
      <c r="J45" s="21"/>
      <c r="K45" s="21"/>
      <c r="L45" s="22"/>
    </row>
    <row r="46" spans="3:12" ht="15">
      <c r="C46" s="20"/>
      <c r="D46" s="21"/>
      <c r="E46" s="21"/>
      <c r="F46" s="21"/>
      <c r="G46" s="21"/>
      <c r="H46" s="21"/>
      <c r="I46" s="21"/>
      <c r="J46" s="21"/>
      <c r="K46" s="21"/>
      <c r="L46" s="22"/>
    </row>
    <row r="47" spans="3:12" ht="15">
      <c r="C47" s="280" t="s">
        <v>134</v>
      </c>
      <c r="D47" s="281"/>
      <c r="E47" s="281"/>
      <c r="F47" s="281"/>
      <c r="G47" s="281"/>
      <c r="H47" s="281"/>
      <c r="I47" s="281"/>
      <c r="J47" s="281"/>
      <c r="K47" s="281"/>
      <c r="L47" s="282"/>
    </row>
    <row r="48" spans="3:12" ht="15">
      <c r="C48" s="280"/>
      <c r="D48" s="281"/>
      <c r="E48" s="281"/>
      <c r="F48" s="281"/>
      <c r="G48" s="281"/>
      <c r="H48" s="281"/>
      <c r="I48" s="281"/>
      <c r="J48" s="281"/>
      <c r="K48" s="281"/>
      <c r="L48" s="282"/>
    </row>
    <row r="49" spans="3:12" ht="15">
      <c r="C49" s="280"/>
      <c r="D49" s="281"/>
      <c r="E49" s="281"/>
      <c r="F49" s="281"/>
      <c r="G49" s="281"/>
      <c r="H49" s="281"/>
      <c r="I49" s="281"/>
      <c r="J49" s="281"/>
      <c r="K49" s="281"/>
      <c r="L49" s="282"/>
    </row>
    <row r="50" spans="3:12" ht="15.75" thickBot="1">
      <c r="C50" s="283"/>
      <c r="D50" s="284"/>
      <c r="E50" s="284"/>
      <c r="F50" s="284"/>
      <c r="G50" s="284"/>
      <c r="H50" s="284"/>
      <c r="I50" s="284"/>
      <c r="J50" s="284"/>
      <c r="K50" s="284"/>
      <c r="L50" s="285"/>
    </row>
    <row r="51" ht="15.75" thickBot="1"/>
    <row r="52" spans="3:12" ht="21">
      <c r="C52" s="277" t="s">
        <v>9</v>
      </c>
      <c r="D52" s="278"/>
      <c r="E52" s="278"/>
      <c r="F52" s="278"/>
      <c r="G52" s="18"/>
      <c r="H52" s="18"/>
      <c r="I52" s="18"/>
      <c r="J52" s="18"/>
      <c r="K52" s="18"/>
      <c r="L52" s="19"/>
    </row>
    <row r="53" spans="3:12" ht="15">
      <c r="C53" s="20"/>
      <c r="D53" s="21"/>
      <c r="E53" s="21"/>
      <c r="F53" s="21"/>
      <c r="G53" s="21"/>
      <c r="H53" s="21"/>
      <c r="I53" s="21"/>
      <c r="J53" s="21"/>
      <c r="K53" s="21"/>
      <c r="L53" s="22"/>
    </row>
    <row r="54" spans="3:12" ht="15">
      <c r="C54" s="20"/>
      <c r="D54" s="21"/>
      <c r="E54" s="21"/>
      <c r="F54" s="21"/>
      <c r="G54" s="21"/>
      <c r="H54" s="21"/>
      <c r="I54" s="21"/>
      <c r="J54" s="21"/>
      <c r="K54" s="21"/>
      <c r="L54" s="22"/>
    </row>
    <row r="55" spans="3:12" ht="15">
      <c r="C55" s="20"/>
      <c r="D55" s="21"/>
      <c r="E55" s="21"/>
      <c r="F55" s="21"/>
      <c r="G55" s="21"/>
      <c r="H55" s="21"/>
      <c r="I55" s="21"/>
      <c r="J55" s="21"/>
      <c r="K55" s="21"/>
      <c r="L55" s="22"/>
    </row>
    <row r="56" spans="3:12" ht="15">
      <c r="C56" s="20"/>
      <c r="D56" s="21"/>
      <c r="E56" s="21"/>
      <c r="F56" s="21"/>
      <c r="G56" s="21"/>
      <c r="H56" s="21"/>
      <c r="I56" s="21"/>
      <c r="J56" s="21"/>
      <c r="K56" s="21"/>
      <c r="L56" s="22"/>
    </row>
    <row r="57" spans="3:12" ht="15">
      <c r="C57" s="20"/>
      <c r="D57" s="21"/>
      <c r="E57" s="21"/>
      <c r="F57" s="21"/>
      <c r="G57" s="21"/>
      <c r="H57" s="21"/>
      <c r="I57" s="21"/>
      <c r="J57" s="21"/>
      <c r="K57" s="21"/>
      <c r="L57" s="22"/>
    </row>
    <row r="58" spans="3:12" ht="15">
      <c r="C58" s="20"/>
      <c r="D58" s="21"/>
      <c r="E58" s="21"/>
      <c r="F58" s="21"/>
      <c r="G58" s="21"/>
      <c r="H58" s="21"/>
      <c r="I58" s="21"/>
      <c r="J58" s="21"/>
      <c r="K58" s="21"/>
      <c r="L58" s="22"/>
    </row>
    <row r="59" spans="3:12" ht="15">
      <c r="C59" s="20"/>
      <c r="D59" s="21"/>
      <c r="E59" s="21"/>
      <c r="F59" s="21"/>
      <c r="G59" s="21"/>
      <c r="H59" s="21"/>
      <c r="I59" s="21"/>
      <c r="J59" s="21"/>
      <c r="K59" s="21"/>
      <c r="L59" s="22"/>
    </row>
    <row r="60" spans="3:12" ht="15">
      <c r="C60" s="20"/>
      <c r="D60" s="21"/>
      <c r="E60" s="21"/>
      <c r="F60" s="21"/>
      <c r="G60" s="21"/>
      <c r="H60" s="21"/>
      <c r="I60" s="21"/>
      <c r="J60" s="21"/>
      <c r="K60" s="21"/>
      <c r="L60" s="22"/>
    </row>
    <row r="61" spans="3:12" ht="15">
      <c r="C61" s="20"/>
      <c r="D61" s="21"/>
      <c r="E61" s="21"/>
      <c r="F61" s="21"/>
      <c r="G61" s="21"/>
      <c r="H61" s="21"/>
      <c r="I61" s="21"/>
      <c r="J61" s="21"/>
      <c r="K61" s="21"/>
      <c r="L61" s="22"/>
    </row>
    <row r="62" spans="3:12" ht="15">
      <c r="C62" s="280" t="s">
        <v>135</v>
      </c>
      <c r="D62" s="281"/>
      <c r="E62" s="281"/>
      <c r="F62" s="281"/>
      <c r="G62" s="281"/>
      <c r="H62" s="281"/>
      <c r="I62" s="281"/>
      <c r="J62" s="281"/>
      <c r="K62" s="281"/>
      <c r="L62" s="282"/>
    </row>
    <row r="63" spans="3:12" ht="15">
      <c r="C63" s="280"/>
      <c r="D63" s="281"/>
      <c r="E63" s="281"/>
      <c r="F63" s="281"/>
      <c r="G63" s="281"/>
      <c r="H63" s="281"/>
      <c r="I63" s="281"/>
      <c r="J63" s="281"/>
      <c r="K63" s="281"/>
      <c r="L63" s="282"/>
    </row>
    <row r="64" spans="3:12" ht="15">
      <c r="C64" s="280"/>
      <c r="D64" s="281"/>
      <c r="E64" s="281"/>
      <c r="F64" s="281"/>
      <c r="G64" s="281"/>
      <c r="H64" s="281"/>
      <c r="I64" s="281"/>
      <c r="J64" s="281"/>
      <c r="K64" s="281"/>
      <c r="L64" s="282"/>
    </row>
    <row r="65" spans="3:12" ht="15.75" thickBot="1">
      <c r="C65" s="283"/>
      <c r="D65" s="284"/>
      <c r="E65" s="284"/>
      <c r="F65" s="284"/>
      <c r="G65" s="284"/>
      <c r="H65" s="284"/>
      <c r="I65" s="284"/>
      <c r="J65" s="284"/>
      <c r="K65" s="284"/>
      <c r="L65" s="285"/>
    </row>
    <row r="66" ht="15.75" thickBot="1"/>
    <row r="67" spans="3:12" ht="21">
      <c r="C67" s="277" t="s">
        <v>330</v>
      </c>
      <c r="D67" s="278"/>
      <c r="E67" s="278"/>
      <c r="F67" s="278"/>
      <c r="G67" s="18"/>
      <c r="H67" s="18"/>
      <c r="I67" s="18"/>
      <c r="J67" s="18"/>
      <c r="K67" s="18"/>
      <c r="L67" s="19"/>
    </row>
    <row r="68" spans="3:12" ht="15">
      <c r="C68" s="20"/>
      <c r="D68" s="21"/>
      <c r="E68" s="21"/>
      <c r="F68" s="21"/>
      <c r="G68" s="21"/>
      <c r="H68" s="21"/>
      <c r="I68" s="21"/>
      <c r="J68" s="21"/>
      <c r="K68" s="21"/>
      <c r="L68" s="22"/>
    </row>
    <row r="69" spans="3:12" ht="15">
      <c r="C69" s="20"/>
      <c r="D69" s="21"/>
      <c r="E69" s="21"/>
      <c r="F69" s="21"/>
      <c r="G69" s="21"/>
      <c r="H69" s="21"/>
      <c r="I69" s="21"/>
      <c r="J69" s="21"/>
      <c r="K69" s="21"/>
      <c r="L69" s="22"/>
    </row>
    <row r="70" spans="3:12" ht="15">
      <c r="C70" s="20"/>
      <c r="D70" s="21"/>
      <c r="E70" s="21"/>
      <c r="F70" s="21"/>
      <c r="G70" s="21"/>
      <c r="H70" s="21"/>
      <c r="I70" s="21"/>
      <c r="J70" s="21"/>
      <c r="K70" s="21"/>
      <c r="L70" s="22"/>
    </row>
    <row r="71" spans="3:12" ht="15">
      <c r="C71" s="20"/>
      <c r="D71" s="21"/>
      <c r="E71" s="21"/>
      <c r="F71" s="21"/>
      <c r="G71" s="21"/>
      <c r="H71" s="21"/>
      <c r="I71" s="21"/>
      <c r="J71" s="21"/>
      <c r="K71" s="21"/>
      <c r="L71" s="22"/>
    </row>
    <row r="72" spans="3:12" ht="15">
      <c r="C72" s="20"/>
      <c r="D72" s="21"/>
      <c r="E72" s="21"/>
      <c r="F72" s="21"/>
      <c r="G72" s="21"/>
      <c r="H72" s="21"/>
      <c r="I72" s="21"/>
      <c r="J72" s="21"/>
      <c r="K72" s="21"/>
      <c r="L72" s="22"/>
    </row>
    <row r="73" spans="3:12" ht="15">
      <c r="C73" s="20"/>
      <c r="D73" s="21"/>
      <c r="E73" s="21"/>
      <c r="F73" s="21"/>
      <c r="G73" s="21"/>
      <c r="H73" s="21"/>
      <c r="I73" s="21"/>
      <c r="J73" s="21"/>
      <c r="K73" s="21"/>
      <c r="L73" s="22"/>
    </row>
    <row r="74" spans="3:12" ht="15">
      <c r="C74" s="20"/>
      <c r="D74" s="21"/>
      <c r="E74" s="21"/>
      <c r="F74" s="21"/>
      <c r="G74" s="21"/>
      <c r="H74" s="21"/>
      <c r="I74" s="21"/>
      <c r="J74" s="21"/>
      <c r="K74" s="21"/>
      <c r="L74" s="22"/>
    </row>
    <row r="75" spans="3:12" ht="15">
      <c r="C75" s="20"/>
      <c r="D75" s="21"/>
      <c r="E75" s="21"/>
      <c r="F75" s="21"/>
      <c r="G75" s="21"/>
      <c r="H75" s="21"/>
      <c r="I75" s="21"/>
      <c r="J75" s="21"/>
      <c r="K75" s="21"/>
      <c r="L75" s="22"/>
    </row>
    <row r="76" spans="3:12" ht="15">
      <c r="C76" s="20"/>
      <c r="D76" s="21"/>
      <c r="E76" s="21"/>
      <c r="F76" s="21"/>
      <c r="G76" s="21"/>
      <c r="H76" s="21"/>
      <c r="I76" s="21"/>
      <c r="J76" s="21"/>
      <c r="K76" s="21"/>
      <c r="L76" s="22"/>
    </row>
    <row r="77" spans="3:12" ht="15">
      <c r="C77" s="280" t="s">
        <v>346</v>
      </c>
      <c r="D77" s="281"/>
      <c r="E77" s="281"/>
      <c r="F77" s="281"/>
      <c r="G77" s="281"/>
      <c r="H77" s="281"/>
      <c r="I77" s="281"/>
      <c r="J77" s="281"/>
      <c r="K77" s="281"/>
      <c r="L77" s="282"/>
    </row>
    <row r="78" spans="3:12" ht="15">
      <c r="C78" s="280"/>
      <c r="D78" s="281"/>
      <c r="E78" s="281"/>
      <c r="F78" s="281"/>
      <c r="G78" s="281"/>
      <c r="H78" s="281"/>
      <c r="I78" s="281"/>
      <c r="J78" s="281"/>
      <c r="K78" s="281"/>
      <c r="L78" s="282"/>
    </row>
    <row r="79" spans="3:12" ht="15">
      <c r="C79" s="280"/>
      <c r="D79" s="281"/>
      <c r="E79" s="281"/>
      <c r="F79" s="281"/>
      <c r="G79" s="281"/>
      <c r="H79" s="281"/>
      <c r="I79" s="281"/>
      <c r="J79" s="281"/>
      <c r="K79" s="281"/>
      <c r="L79" s="282"/>
    </row>
    <row r="80" spans="3:12" ht="15.75" thickBot="1">
      <c r="C80" s="283"/>
      <c r="D80" s="284"/>
      <c r="E80" s="284"/>
      <c r="F80" s="284"/>
      <c r="G80" s="284"/>
      <c r="H80" s="284"/>
      <c r="I80" s="284"/>
      <c r="J80" s="284"/>
      <c r="K80" s="284"/>
      <c r="L80" s="285"/>
    </row>
    <row r="81" ht="15.75" thickBot="1"/>
    <row r="82" spans="3:12" ht="21">
      <c r="C82" s="277" t="s">
        <v>343</v>
      </c>
      <c r="D82" s="278"/>
      <c r="E82" s="278"/>
      <c r="F82" s="278"/>
      <c r="G82" s="278"/>
      <c r="H82" s="278"/>
      <c r="I82" s="18"/>
      <c r="J82" s="18"/>
      <c r="K82" s="18"/>
      <c r="L82" s="19"/>
    </row>
    <row r="83" spans="3:12" ht="15">
      <c r="C83" s="20"/>
      <c r="D83" s="21"/>
      <c r="E83" s="21"/>
      <c r="F83" s="21"/>
      <c r="G83" s="21"/>
      <c r="H83" s="21"/>
      <c r="I83" s="21"/>
      <c r="J83" s="21"/>
      <c r="K83" s="21"/>
      <c r="L83" s="22"/>
    </row>
    <row r="84" spans="3:12" ht="15">
      <c r="C84" s="20"/>
      <c r="D84" s="21"/>
      <c r="E84" s="21"/>
      <c r="F84" s="21"/>
      <c r="G84" s="21"/>
      <c r="H84" s="21"/>
      <c r="I84" s="21"/>
      <c r="J84" s="21"/>
      <c r="K84" s="21"/>
      <c r="L84" s="22"/>
    </row>
    <row r="85" spans="3:12" ht="15">
      <c r="C85" s="20"/>
      <c r="D85" s="21"/>
      <c r="E85" s="21"/>
      <c r="F85" s="21"/>
      <c r="G85" s="21"/>
      <c r="H85" s="21"/>
      <c r="I85" s="21"/>
      <c r="J85" s="21"/>
      <c r="K85" s="21"/>
      <c r="L85" s="22"/>
    </row>
    <row r="86" spans="3:12" ht="15">
      <c r="C86" s="20"/>
      <c r="D86" s="21"/>
      <c r="E86" s="21"/>
      <c r="F86" s="21"/>
      <c r="G86" s="21"/>
      <c r="H86" s="21"/>
      <c r="I86" s="21"/>
      <c r="J86" s="21"/>
      <c r="K86" s="21"/>
      <c r="L86" s="22"/>
    </row>
    <row r="87" spans="3:12" ht="15">
      <c r="C87" s="20"/>
      <c r="D87" s="21"/>
      <c r="E87" s="21"/>
      <c r="F87" s="21"/>
      <c r="G87" s="21"/>
      <c r="H87" s="21"/>
      <c r="I87" s="21"/>
      <c r="J87" s="21"/>
      <c r="K87" s="21"/>
      <c r="L87" s="22"/>
    </row>
    <row r="88" spans="3:12" ht="15">
      <c r="C88" s="20"/>
      <c r="D88" s="21"/>
      <c r="E88" s="21"/>
      <c r="F88" s="21"/>
      <c r="G88" s="21"/>
      <c r="H88" s="21"/>
      <c r="I88" s="21"/>
      <c r="J88" s="21"/>
      <c r="K88" s="21"/>
      <c r="L88" s="22"/>
    </row>
    <row r="89" spans="3:12" ht="15">
      <c r="C89" s="20"/>
      <c r="D89" s="21"/>
      <c r="E89" s="21"/>
      <c r="F89" s="21"/>
      <c r="G89" s="21"/>
      <c r="H89" s="21"/>
      <c r="I89" s="21"/>
      <c r="J89" s="21"/>
      <c r="K89" s="21"/>
      <c r="L89" s="22"/>
    </row>
    <row r="90" spans="3:12" ht="15">
      <c r="C90" s="20"/>
      <c r="D90" s="21"/>
      <c r="E90" s="21"/>
      <c r="F90" s="21"/>
      <c r="G90" s="21"/>
      <c r="H90" s="21"/>
      <c r="I90" s="21"/>
      <c r="J90" s="21"/>
      <c r="K90" s="21"/>
      <c r="L90" s="22"/>
    </row>
    <row r="91" spans="3:12" ht="15">
      <c r="C91" s="20"/>
      <c r="D91" s="21"/>
      <c r="E91" s="21"/>
      <c r="F91" s="21"/>
      <c r="G91" s="21"/>
      <c r="H91" s="21"/>
      <c r="I91" s="21"/>
      <c r="J91" s="21"/>
      <c r="K91" s="21"/>
      <c r="L91" s="22"/>
    </row>
    <row r="92" spans="3:12" ht="15">
      <c r="C92" s="280" t="s">
        <v>344</v>
      </c>
      <c r="D92" s="281"/>
      <c r="E92" s="281"/>
      <c r="F92" s="281"/>
      <c r="G92" s="281"/>
      <c r="H92" s="281"/>
      <c r="I92" s="281"/>
      <c r="J92" s="281"/>
      <c r="K92" s="281"/>
      <c r="L92" s="282"/>
    </row>
    <row r="93" spans="3:12" ht="15">
      <c r="C93" s="280"/>
      <c r="D93" s="281"/>
      <c r="E93" s="281"/>
      <c r="F93" s="281"/>
      <c r="G93" s="281"/>
      <c r="H93" s="281"/>
      <c r="I93" s="281"/>
      <c r="J93" s="281"/>
      <c r="K93" s="281"/>
      <c r="L93" s="282"/>
    </row>
    <row r="94" spans="3:12" ht="15">
      <c r="C94" s="280"/>
      <c r="D94" s="281"/>
      <c r="E94" s="281"/>
      <c r="F94" s="281"/>
      <c r="G94" s="281"/>
      <c r="H94" s="281"/>
      <c r="I94" s="281"/>
      <c r="J94" s="281"/>
      <c r="K94" s="281"/>
      <c r="L94" s="282"/>
    </row>
    <row r="95" spans="3:12" ht="15.75" thickBot="1">
      <c r="C95" s="283"/>
      <c r="D95" s="284"/>
      <c r="E95" s="284"/>
      <c r="F95" s="284"/>
      <c r="G95" s="284"/>
      <c r="H95" s="284"/>
      <c r="I95" s="284"/>
      <c r="J95" s="284"/>
      <c r="K95" s="284"/>
      <c r="L95" s="285"/>
    </row>
    <row r="96" ht="15.75" thickBot="1"/>
    <row r="97" spans="3:12" ht="21">
      <c r="C97" s="277" t="s">
        <v>329</v>
      </c>
      <c r="D97" s="278"/>
      <c r="E97" s="278"/>
      <c r="F97" s="278"/>
      <c r="G97" s="278"/>
      <c r="H97" s="18"/>
      <c r="I97" s="18"/>
      <c r="J97" s="18"/>
      <c r="K97" s="18"/>
      <c r="L97" s="19"/>
    </row>
    <row r="98" spans="3:12" ht="15">
      <c r="C98" s="20"/>
      <c r="D98" s="21"/>
      <c r="E98" s="21"/>
      <c r="F98" s="21"/>
      <c r="G98" s="21"/>
      <c r="H98" s="21"/>
      <c r="I98" s="21"/>
      <c r="J98" s="21"/>
      <c r="K98" s="21"/>
      <c r="L98" s="22"/>
    </row>
    <row r="99" spans="3:12" ht="15">
      <c r="C99" s="20"/>
      <c r="D99" s="21"/>
      <c r="E99" s="21"/>
      <c r="F99" s="21"/>
      <c r="G99" s="21"/>
      <c r="H99" s="21"/>
      <c r="I99" s="21"/>
      <c r="J99" s="21"/>
      <c r="K99" s="21"/>
      <c r="L99" s="22"/>
    </row>
    <row r="100" spans="3:12" ht="15">
      <c r="C100" s="20"/>
      <c r="D100" s="21"/>
      <c r="E100" s="21"/>
      <c r="F100" s="21"/>
      <c r="G100" s="21"/>
      <c r="H100" s="21"/>
      <c r="I100" s="21"/>
      <c r="J100" s="21"/>
      <c r="K100" s="21"/>
      <c r="L100" s="22"/>
    </row>
    <row r="101" spans="3:12" ht="15">
      <c r="C101" s="20"/>
      <c r="D101" s="21"/>
      <c r="E101" s="21"/>
      <c r="F101" s="21"/>
      <c r="G101" s="21"/>
      <c r="H101" s="21"/>
      <c r="I101" s="21"/>
      <c r="J101" s="21"/>
      <c r="K101" s="21"/>
      <c r="L101" s="22"/>
    </row>
    <row r="102" spans="3:12" ht="15">
      <c r="C102" s="20"/>
      <c r="D102" s="21"/>
      <c r="E102" s="21"/>
      <c r="F102" s="21"/>
      <c r="G102" s="21"/>
      <c r="H102" s="21"/>
      <c r="I102" s="21"/>
      <c r="J102" s="21"/>
      <c r="K102" s="21"/>
      <c r="L102" s="22"/>
    </row>
    <row r="103" spans="3:12" ht="15">
      <c r="C103" s="20"/>
      <c r="D103" s="21"/>
      <c r="E103" s="21"/>
      <c r="F103" s="21"/>
      <c r="G103" s="21"/>
      <c r="H103" s="21"/>
      <c r="I103" s="21"/>
      <c r="J103" s="21"/>
      <c r="K103" s="21"/>
      <c r="L103" s="22"/>
    </row>
    <row r="104" spans="3:12" ht="15">
      <c r="C104" s="20"/>
      <c r="D104" s="21"/>
      <c r="E104" s="21"/>
      <c r="F104" s="21"/>
      <c r="G104" s="21"/>
      <c r="H104" s="21"/>
      <c r="I104" s="21"/>
      <c r="J104" s="21"/>
      <c r="K104" s="21"/>
      <c r="L104" s="22"/>
    </row>
    <row r="105" spans="3:12" ht="15">
      <c r="C105" s="20"/>
      <c r="D105" s="21"/>
      <c r="E105" s="21"/>
      <c r="F105" s="21"/>
      <c r="G105" s="21"/>
      <c r="H105" s="21"/>
      <c r="I105" s="21"/>
      <c r="J105" s="21"/>
      <c r="K105" s="21"/>
      <c r="L105" s="22"/>
    </row>
    <row r="106" spans="3:12" ht="15">
      <c r="C106" s="20"/>
      <c r="D106" s="21"/>
      <c r="E106" s="21"/>
      <c r="F106" s="21"/>
      <c r="G106" s="21"/>
      <c r="H106" s="21"/>
      <c r="I106" s="21"/>
      <c r="J106" s="21"/>
      <c r="K106" s="21"/>
      <c r="L106" s="22"/>
    </row>
    <row r="107" spans="2:13" ht="15">
      <c r="B107" s="21"/>
      <c r="C107" s="20"/>
      <c r="D107" s="21"/>
      <c r="E107" s="21"/>
      <c r="F107" s="21"/>
      <c r="G107" s="21"/>
      <c r="H107" s="21"/>
      <c r="I107" s="21"/>
      <c r="J107" s="21"/>
      <c r="K107" s="21"/>
      <c r="L107" s="22"/>
      <c r="M107" s="21"/>
    </row>
    <row r="108" spans="2:13" ht="15">
      <c r="B108" s="21"/>
      <c r="C108" s="20"/>
      <c r="D108" s="21"/>
      <c r="E108" s="21"/>
      <c r="F108" s="21"/>
      <c r="G108" s="21"/>
      <c r="H108" s="21"/>
      <c r="I108" s="21"/>
      <c r="J108" s="21"/>
      <c r="K108" s="21"/>
      <c r="L108" s="22"/>
      <c r="M108" s="21"/>
    </row>
    <row r="109" spans="2:13" ht="15">
      <c r="B109" s="21"/>
      <c r="C109" s="20"/>
      <c r="D109" s="21"/>
      <c r="E109" s="21"/>
      <c r="F109" s="21"/>
      <c r="G109" s="21"/>
      <c r="H109" s="21"/>
      <c r="I109" s="21"/>
      <c r="J109" s="21"/>
      <c r="K109" s="21"/>
      <c r="L109" s="22"/>
      <c r="M109" s="21"/>
    </row>
    <row r="110" spans="2:13" ht="15">
      <c r="B110" s="21"/>
      <c r="C110" s="20"/>
      <c r="D110" s="21"/>
      <c r="E110" s="21"/>
      <c r="F110" s="21"/>
      <c r="G110" s="21"/>
      <c r="H110" s="21"/>
      <c r="I110" s="21"/>
      <c r="J110" s="21"/>
      <c r="K110" s="21"/>
      <c r="L110" s="22"/>
      <c r="M110" s="21"/>
    </row>
    <row r="111" spans="2:13" ht="15">
      <c r="B111" s="21"/>
      <c r="C111" s="20"/>
      <c r="D111" s="21"/>
      <c r="E111" s="21"/>
      <c r="F111" s="21"/>
      <c r="G111" s="21"/>
      <c r="H111" s="21"/>
      <c r="I111" s="21"/>
      <c r="J111" s="21"/>
      <c r="K111" s="21"/>
      <c r="L111" s="22"/>
      <c r="M111" s="21"/>
    </row>
    <row r="112" spans="2:13" ht="15">
      <c r="B112" s="21"/>
      <c r="C112" s="280" t="s">
        <v>15</v>
      </c>
      <c r="D112" s="281"/>
      <c r="E112" s="281"/>
      <c r="F112" s="281"/>
      <c r="G112" s="281"/>
      <c r="H112" s="281"/>
      <c r="I112" s="281"/>
      <c r="J112" s="281"/>
      <c r="K112" s="281"/>
      <c r="L112" s="282"/>
      <c r="M112" s="21"/>
    </row>
    <row r="113" spans="2:13" ht="15">
      <c r="B113" s="21"/>
      <c r="C113" s="280"/>
      <c r="D113" s="281"/>
      <c r="E113" s="281"/>
      <c r="F113" s="281"/>
      <c r="G113" s="281"/>
      <c r="H113" s="281"/>
      <c r="I113" s="281"/>
      <c r="J113" s="281"/>
      <c r="K113" s="281"/>
      <c r="L113" s="282"/>
      <c r="M113" s="21"/>
    </row>
    <row r="114" spans="3:12" ht="15">
      <c r="C114" s="280"/>
      <c r="D114" s="281"/>
      <c r="E114" s="281"/>
      <c r="F114" s="281"/>
      <c r="G114" s="281"/>
      <c r="H114" s="281"/>
      <c r="I114" s="281"/>
      <c r="J114" s="281"/>
      <c r="K114" s="281"/>
      <c r="L114" s="282"/>
    </row>
    <row r="115" spans="3:12" ht="15.75" thickBot="1">
      <c r="C115" s="283"/>
      <c r="D115" s="284"/>
      <c r="E115" s="284"/>
      <c r="F115" s="284"/>
      <c r="G115" s="284"/>
      <c r="H115" s="284"/>
      <c r="I115" s="284"/>
      <c r="J115" s="284"/>
      <c r="K115" s="284"/>
      <c r="L115" s="285"/>
    </row>
  </sheetData>
  <sheetProtection sheet="1" objects="1" scenarios="1"/>
  <mergeCells count="17">
    <mergeCell ref="C37:J37"/>
    <mergeCell ref="C52:F52"/>
    <mergeCell ref="C97:G97"/>
    <mergeCell ref="C67:F67"/>
    <mergeCell ref="C77:L80"/>
    <mergeCell ref="C92:L95"/>
    <mergeCell ref="C82:H82"/>
    <mergeCell ref="C2:N2"/>
    <mergeCell ref="C3:F3"/>
    <mergeCell ref="C8:F8"/>
    <mergeCell ref="C5:N6"/>
    <mergeCell ref="C112:L115"/>
    <mergeCell ref="C17:L20"/>
    <mergeCell ref="C32:L35"/>
    <mergeCell ref="C47:L50"/>
    <mergeCell ref="C62:L65"/>
    <mergeCell ref="C22:G2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2">
    <tabColor theme="9" tint="0.39998000860214233"/>
  </sheetPr>
  <dimension ref="A2:AD83"/>
  <sheetViews>
    <sheetView zoomScalePageLayoutView="0" workbookViewId="0" topLeftCell="A1">
      <selection activeCell="C3" sqref="C3:D3"/>
    </sheetView>
  </sheetViews>
  <sheetFormatPr defaultColWidth="9.140625" defaultRowHeight="15"/>
  <cols>
    <col min="1" max="1" width="9.140625" style="75" customWidth="1"/>
    <col min="2" max="2" width="2.8515625" style="75" customWidth="1"/>
    <col min="3" max="3" width="70.57421875" style="75" customWidth="1"/>
    <col min="4" max="4" width="15.8515625" style="75" customWidth="1"/>
    <col min="5" max="5" width="2.8515625" style="75" customWidth="1"/>
    <col min="6" max="6" width="9.140625" style="75" customWidth="1"/>
    <col min="7" max="7" width="2.8515625" style="75" customWidth="1"/>
    <col min="8" max="8" width="15.140625" style="75" customWidth="1"/>
    <col min="9" max="9" width="2.8515625" style="75" customWidth="1"/>
    <col min="10" max="10" width="9.140625" style="75" customWidth="1"/>
    <col min="11" max="11" width="2.8515625" style="75" customWidth="1"/>
    <col min="12" max="12" width="15.28125" style="75" customWidth="1"/>
    <col min="13" max="13" width="2.8515625" style="75" customWidth="1"/>
    <col min="14" max="14" width="9.140625" style="75" customWidth="1"/>
    <col min="15" max="15" width="2.8515625" style="75" customWidth="1"/>
    <col min="16" max="16" width="15.140625" style="75" customWidth="1"/>
    <col min="17" max="17" width="2.8515625" style="75" customWidth="1"/>
    <col min="18" max="18" width="9.140625" style="75" customWidth="1"/>
    <col min="19" max="19" width="2.8515625" style="75" customWidth="1"/>
    <col min="20" max="20" width="14.00390625" style="75" customWidth="1"/>
    <col min="21" max="21" width="2.8515625" style="75" customWidth="1"/>
    <col min="22" max="22" width="9.140625" style="75" customWidth="1"/>
    <col min="23" max="23" width="2.8515625" style="75" customWidth="1"/>
    <col min="24" max="24" width="14.00390625" style="75" customWidth="1"/>
    <col min="25" max="25" width="2.8515625" style="75" customWidth="1"/>
    <col min="26" max="26" width="9.140625" style="75" customWidth="1"/>
    <col min="27" max="27" width="2.8515625" style="75" customWidth="1"/>
    <col min="28" max="28" width="26.140625" style="75" customWidth="1"/>
    <col min="29" max="29" width="2.8515625" style="75" customWidth="1"/>
    <col min="30" max="16384" width="9.140625" style="75" customWidth="1"/>
  </cols>
  <sheetData>
    <row r="2" spans="3:13" ht="26.25">
      <c r="C2" s="239" t="str">
        <f>Inputs!C2</f>
        <v>Resource Efficient Scotland - Hospital food waste disposal calculator </v>
      </c>
      <c r="D2" s="239"/>
      <c r="E2" s="239"/>
      <c r="F2" s="239"/>
      <c r="G2" s="239"/>
      <c r="H2" s="239"/>
      <c r="I2" s="239"/>
      <c r="J2" s="239"/>
      <c r="K2" s="239"/>
      <c r="L2" s="239"/>
      <c r="M2" s="239"/>
    </row>
    <row r="3" spans="3:4" ht="21">
      <c r="C3" s="240" t="s">
        <v>136</v>
      </c>
      <c r="D3" s="240"/>
    </row>
    <row r="6" ht="15.75" thickBot="1"/>
    <row r="7" spans="3:6" ht="15">
      <c r="C7" s="294" t="s">
        <v>18</v>
      </c>
      <c r="D7" s="295"/>
      <c r="E7" s="295"/>
      <c r="F7" s="296"/>
    </row>
    <row r="8" spans="3:6" ht="15">
      <c r="C8" s="119" t="str">
        <f>'Default values'!P85</f>
        <v>Unit cost of water (£/l)</v>
      </c>
      <c r="D8" s="43">
        <f>'Default values'!Q85</f>
        <v>0.00077</v>
      </c>
      <c r="E8" s="21"/>
      <c r="F8" s="198" t="s">
        <v>320</v>
      </c>
    </row>
    <row r="9" spans="3:6" ht="15">
      <c r="C9" s="20" t="str">
        <f>'Default values'!P86</f>
        <v>Unit cost of electricity (£/kWh)</v>
      </c>
      <c r="D9" s="43">
        <f>'Default values'!Q86</f>
        <v>0.0914</v>
      </c>
      <c r="E9" s="21"/>
      <c r="F9" s="198" t="s">
        <v>320</v>
      </c>
    </row>
    <row r="10" spans="3:6" ht="15">
      <c r="C10" s="20" t="str">
        <f>'Default values'!P87</f>
        <v>Hourly cost of labour - catering/portering operative (£/h)</v>
      </c>
      <c r="D10" s="43">
        <f>'Default values'!Q87</f>
        <v>7.86</v>
      </c>
      <c r="E10" s="21"/>
      <c r="F10" s="198" t="s">
        <v>320</v>
      </c>
    </row>
    <row r="11" spans="3:6" ht="15">
      <c r="C11" s="20" t="str">
        <f>'Default values'!P88</f>
        <v>Hourly cost of labour - catering management (£/h)</v>
      </c>
      <c r="D11" s="43">
        <f>'Default values'!Q88</f>
        <v>13.33</v>
      </c>
      <c r="E11" s="21"/>
      <c r="F11" s="198" t="s">
        <v>320</v>
      </c>
    </row>
    <row r="12" spans="3:6" ht="15">
      <c r="C12" s="20" t="str">
        <f>'Default values'!P89</f>
        <v>Hourly cost of labour - estates onsite AD/IVC operative (£/h)</v>
      </c>
      <c r="D12" s="43">
        <f>'Default values'!Q89</f>
        <v>13.33</v>
      </c>
      <c r="E12" s="21"/>
      <c r="F12" s="198" t="s">
        <v>320</v>
      </c>
    </row>
    <row r="13" spans="3:6" ht="15">
      <c r="C13" s="20" t="str">
        <f>'Default values'!P90</f>
        <v>Hourly cost of labour - estate management (£/h)</v>
      </c>
      <c r="D13" s="43">
        <f>'Default values'!Q90</f>
        <v>19.48</v>
      </c>
      <c r="E13" s="21"/>
      <c r="F13" s="198" t="s">
        <v>320</v>
      </c>
    </row>
    <row r="14" spans="3:6" ht="15">
      <c r="C14" s="20" t="str">
        <f>'Default values'!P91</f>
        <v>Hourly cost of labour - professional support (£/h)</v>
      </c>
      <c r="D14" s="43">
        <f>'Default values'!Q91</f>
        <v>88</v>
      </c>
      <c r="E14" s="21"/>
      <c r="F14" s="198" t="s">
        <v>320</v>
      </c>
    </row>
    <row r="15" spans="3:6" ht="15">
      <c r="C15" s="20" t="str">
        <f>'Default values'!P92</f>
        <v>Unit cost of sewerage (£/m3)</v>
      </c>
      <c r="D15" s="43">
        <f>'Default values'!Q92</f>
        <v>0</v>
      </c>
      <c r="E15" s="21"/>
      <c r="F15" s="198" t="s">
        <v>320</v>
      </c>
    </row>
    <row r="16" spans="3:6" ht="15.75" thickBot="1">
      <c r="C16" s="138" t="str">
        <f>'Default values'!P93</f>
        <v>No. of working days for hospital (working days/annum)</v>
      </c>
      <c r="D16" s="46">
        <f>'Default values'!Q93</f>
        <v>365</v>
      </c>
      <c r="E16" s="199"/>
      <c r="F16" s="201" t="s">
        <v>320</v>
      </c>
    </row>
    <row r="17" ht="15.75" thickBot="1"/>
    <row r="18" spans="1:6" ht="15">
      <c r="A18" s="121"/>
      <c r="B18" s="121"/>
      <c r="C18" s="297" t="s">
        <v>56</v>
      </c>
      <c r="D18" s="298"/>
      <c r="E18" s="298"/>
      <c r="F18" s="299"/>
    </row>
    <row r="19" spans="1:6" ht="15">
      <c r="A19" s="121"/>
      <c r="B19" s="121"/>
      <c r="C19" s="34" t="s">
        <v>57</v>
      </c>
      <c r="D19" s="43">
        <f>'Default values'!Q78</f>
        <v>113</v>
      </c>
      <c r="E19" s="21"/>
      <c r="F19" s="198" t="s">
        <v>320</v>
      </c>
    </row>
    <row r="20" spans="1:6" ht="15">
      <c r="A20" s="121"/>
      <c r="B20" s="121"/>
      <c r="C20" s="196" t="s">
        <v>322</v>
      </c>
      <c r="D20" s="150">
        <f>'Default values'!Q81</f>
        <v>1.57</v>
      </c>
      <c r="E20" s="21"/>
      <c r="F20" s="198" t="s">
        <v>320</v>
      </c>
    </row>
    <row r="21" spans="1:6" ht="15.75" thickBot="1">
      <c r="A21" s="121"/>
      <c r="B21" s="121"/>
      <c r="C21" s="197" t="s">
        <v>321</v>
      </c>
      <c r="D21" s="45">
        <f>'Default values'!Q82</f>
        <v>0.93</v>
      </c>
      <c r="E21" s="199"/>
      <c r="F21" s="201" t="s">
        <v>320</v>
      </c>
    </row>
    <row r="22" ht="15.75" thickBot="1"/>
    <row r="23" spans="3:30" ht="15">
      <c r="C23" s="292" t="s">
        <v>35</v>
      </c>
      <c r="D23" s="288" t="s">
        <v>324</v>
      </c>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90"/>
    </row>
    <row r="24" spans="3:30" ht="15">
      <c r="C24" s="293"/>
      <c r="D24" s="286" t="s">
        <v>0</v>
      </c>
      <c r="E24" s="286"/>
      <c r="F24" s="286"/>
      <c r="G24" s="21"/>
      <c r="H24" s="286" t="s">
        <v>1</v>
      </c>
      <c r="I24" s="286"/>
      <c r="J24" s="286"/>
      <c r="K24" s="21"/>
      <c r="L24" s="286" t="s">
        <v>2</v>
      </c>
      <c r="M24" s="286"/>
      <c r="N24" s="286"/>
      <c r="O24" s="21"/>
      <c r="P24" s="286" t="s">
        <v>3</v>
      </c>
      <c r="Q24" s="286"/>
      <c r="R24" s="286"/>
      <c r="S24" s="21"/>
      <c r="T24" s="286" t="s">
        <v>4</v>
      </c>
      <c r="U24" s="286"/>
      <c r="V24" s="286"/>
      <c r="W24" s="21"/>
      <c r="X24" s="286" t="s">
        <v>323</v>
      </c>
      <c r="Y24" s="286"/>
      <c r="Z24" s="291"/>
      <c r="AA24" s="202"/>
      <c r="AB24" s="286" t="s">
        <v>326</v>
      </c>
      <c r="AC24" s="286"/>
      <c r="AD24" s="287"/>
    </row>
    <row r="25" spans="3:30" ht="15">
      <c r="C25" s="5" t="str">
        <f>'Default values'!P10</f>
        <v>Equipment cost (£/unit)</v>
      </c>
      <c r="D25" s="222" t="str">
        <f>MIN('Default values'!E10:E14)&amp;" to "&amp;MAX('Default values'!E10:E14)</f>
        <v>130000 to 182000</v>
      </c>
      <c r="E25" s="21"/>
      <c r="F25" s="195" t="s">
        <v>320</v>
      </c>
      <c r="G25" s="21"/>
      <c r="H25" s="222" t="str">
        <f>MIN('Default values'!E20:E24)&amp;" to "&amp;MAX('Default values'!E20:E24)</f>
        <v>50000 to 70000</v>
      </c>
      <c r="I25" s="21"/>
      <c r="J25" s="195" t="s">
        <v>320</v>
      </c>
      <c r="K25" s="21"/>
      <c r="L25" s="222" t="str">
        <f>MIN('Default values'!E30:E34)&amp;" to "&amp;MAX('Default values'!E30:E34)</f>
        <v>70000 to 117600</v>
      </c>
      <c r="M25" s="21"/>
      <c r="N25" s="195" t="s">
        <v>320</v>
      </c>
      <c r="O25" s="21"/>
      <c r="P25" s="222" t="str">
        <f>MIN('Default values'!E40:E44)&amp;" to "&amp;MAX('Default values'!E40:E44)</f>
        <v>9312.5 to 12900</v>
      </c>
      <c r="Q25" s="21"/>
      <c r="R25" s="195" t="s">
        <v>320</v>
      </c>
      <c r="S25" s="21"/>
      <c r="T25" s="222" t="str">
        <f>MIN('Default values'!E50:E54)&amp;" to "&amp;MAX('Default values'!E50:E54)</f>
        <v>10775 to 55625</v>
      </c>
      <c r="U25" s="21"/>
      <c r="V25" s="195" t="s">
        <v>320</v>
      </c>
      <c r="W25" s="21"/>
      <c r="X25" s="222" t="str">
        <f>MIN('Default values'!E60:E64)&amp;" to "&amp;MAX('Default values'!E60:E64)</f>
        <v>8000 to 65000</v>
      </c>
      <c r="Y25" s="21"/>
      <c r="Z25" s="195" t="s">
        <v>320</v>
      </c>
      <c r="AA25" s="202"/>
      <c r="AB25" s="222" t="str">
        <f>IF(MIN('Default values'!E70:E74)=1,0,MIN('Default values'!E70:E74))&amp;" to "&amp;IF(MAX('Default values'!E70:E74)=1,0,MAX('Default values'!E70:E74))</f>
        <v>0 to 0</v>
      </c>
      <c r="AC25" s="21"/>
      <c r="AD25" s="198" t="s">
        <v>320</v>
      </c>
    </row>
    <row r="26" spans="3:30" ht="15">
      <c r="C26" s="5" t="str">
        <f>'Default values'!P11</f>
        <v>Equipment installation costs (£/unit)</v>
      </c>
      <c r="D26" s="222" t="str">
        <f>MIN('Default values'!F10:F14)&amp;" to "&amp;MAX('Default values'!F10:F14)</f>
        <v>8500 to 11000</v>
      </c>
      <c r="E26" s="21"/>
      <c r="F26" s="195" t="s">
        <v>320</v>
      </c>
      <c r="G26" s="21"/>
      <c r="H26" s="222" t="str">
        <f>MIN('Default values'!F20:F24)&amp;" to "&amp;MAX('Default values'!F20:F24)</f>
        <v>0 to 0</v>
      </c>
      <c r="I26" s="21"/>
      <c r="J26" s="195" t="s">
        <v>320</v>
      </c>
      <c r="K26" s="21"/>
      <c r="L26" s="222" t="str">
        <f>MIN('Default values'!F30:F34)&amp;" to "&amp;MAX('Default values'!F30:F34)</f>
        <v>6000 to 61500</v>
      </c>
      <c r="M26" s="21"/>
      <c r="N26" s="195" t="s">
        <v>320</v>
      </c>
      <c r="O26" s="21"/>
      <c r="P26" s="222" t="str">
        <f>MIN('Default values'!F40:F44)&amp;" to "&amp;MAX('Default values'!F40:F44)</f>
        <v>500 to 575</v>
      </c>
      <c r="Q26" s="21"/>
      <c r="R26" s="195" t="s">
        <v>320</v>
      </c>
      <c r="S26" s="21"/>
      <c r="T26" s="222" t="str">
        <f>MIN('Default values'!F50:F54)&amp;" to "&amp;MAX('Default values'!F50:F54)</f>
        <v>0 to 700</v>
      </c>
      <c r="U26" s="21"/>
      <c r="V26" s="195" t="s">
        <v>320</v>
      </c>
      <c r="W26" s="21"/>
      <c r="X26" s="222" t="str">
        <f>MIN('Default values'!F60:F64)&amp;" to "&amp;MAX('Default values'!F60:F64)</f>
        <v>250 to 400</v>
      </c>
      <c r="Y26" s="21"/>
      <c r="Z26" s="195" t="s">
        <v>320</v>
      </c>
      <c r="AA26" s="202"/>
      <c r="AB26" s="222" t="str">
        <f>MIN('Default values'!F70:F74)&amp;" to "&amp;MAX('Default values'!F70:F74)</f>
        <v>0 to 0</v>
      </c>
      <c r="AC26" s="21"/>
      <c r="AD26" s="198" t="s">
        <v>320</v>
      </c>
    </row>
    <row r="27" spans="3:30" ht="15">
      <c r="C27" s="5" t="str">
        <f>'Default values'!P12</f>
        <v>Maintenance cost (£/unit/a)</v>
      </c>
      <c r="D27" s="222" t="str">
        <f>MIN('Default values'!G10:G14)&amp;" to "&amp;MAX('Default values'!G10:G14)</f>
        <v>1800 to 2520</v>
      </c>
      <c r="E27" s="21"/>
      <c r="F27" s="195" t="s">
        <v>320</v>
      </c>
      <c r="G27" s="21"/>
      <c r="H27" s="222" t="str">
        <f>MIN('Default values'!G20:G24)&amp;" to "&amp;MAX('Default values'!G20:G24)</f>
        <v>200 to 200</v>
      </c>
      <c r="I27" s="21"/>
      <c r="J27" s="195" t="s">
        <v>320</v>
      </c>
      <c r="K27" s="21"/>
      <c r="L27" s="222" t="str">
        <f>MIN('Default values'!G30:G34)&amp;" to "&amp;MAX('Default values'!G30:G34)</f>
        <v>960 to 4800</v>
      </c>
      <c r="M27" s="21"/>
      <c r="N27" s="195" t="s">
        <v>320</v>
      </c>
      <c r="O27" s="21"/>
      <c r="P27" s="222" t="str">
        <f>MIN('Default values'!G40:G44)&amp;" to "&amp;MAX('Default values'!G40:G44)</f>
        <v>200 to 550</v>
      </c>
      <c r="Q27" s="21"/>
      <c r="R27" s="195" t="s">
        <v>320</v>
      </c>
      <c r="S27" s="21"/>
      <c r="T27" s="222" t="str">
        <f>MIN('Default values'!G50:G54)&amp;" to "&amp;MAX('Default values'!G50:G54)</f>
        <v>400 to 525</v>
      </c>
      <c r="U27" s="21"/>
      <c r="V27" s="195" t="s">
        <v>320</v>
      </c>
      <c r="W27" s="21"/>
      <c r="X27" s="222" t="str">
        <f>MIN('Default values'!G60:G64)&amp;" to "&amp;MAX('Default values'!G60:G64)</f>
        <v>250 to 250</v>
      </c>
      <c r="Y27" s="21"/>
      <c r="Z27" s="195" t="s">
        <v>320</v>
      </c>
      <c r="AA27" s="202"/>
      <c r="AB27" s="222" t="str">
        <f>MIN('Default values'!G70:G74)&amp;" to "&amp;MAX('Default values'!G70:G74)</f>
        <v>0 to 0</v>
      </c>
      <c r="AC27" s="21"/>
      <c r="AD27" s="198" t="s">
        <v>320</v>
      </c>
    </row>
    <row r="28" spans="3:30" ht="15">
      <c r="C28" s="5" t="str">
        <f>'Default values'!P13</f>
        <v>Processing time (hours running/unit/working day)</v>
      </c>
      <c r="D28" s="223">
        <f>'Default values'!Q13</f>
        <v>3</v>
      </c>
      <c r="E28" s="21"/>
      <c r="F28" s="195" t="s">
        <v>320</v>
      </c>
      <c r="G28" s="21"/>
      <c r="H28" s="223">
        <f>'Default values'!R13</f>
        <v>3</v>
      </c>
      <c r="I28" s="21"/>
      <c r="J28" s="195" t="s">
        <v>320</v>
      </c>
      <c r="K28" s="21"/>
      <c r="L28" s="223">
        <f>'Default values'!S13</f>
        <v>3</v>
      </c>
      <c r="M28" s="21"/>
      <c r="N28" s="195" t="s">
        <v>320</v>
      </c>
      <c r="O28" s="21"/>
      <c r="P28" s="223">
        <f>'Default values'!T13</f>
        <v>3</v>
      </c>
      <c r="Q28" s="21"/>
      <c r="R28" s="195" t="s">
        <v>320</v>
      </c>
      <c r="S28" s="21"/>
      <c r="T28" s="223">
        <f>'Default values'!U13</f>
        <v>15</v>
      </c>
      <c r="U28" s="21"/>
      <c r="V28" s="195" t="s">
        <v>320</v>
      </c>
      <c r="W28" s="21"/>
      <c r="X28" s="223">
        <f>'Default values'!V13</f>
        <v>24</v>
      </c>
      <c r="Y28" s="21"/>
      <c r="Z28" s="195" t="s">
        <v>320</v>
      </c>
      <c r="AA28" s="202"/>
      <c r="AB28" s="223">
        <f>'Default values'!W13</f>
        <v>3</v>
      </c>
      <c r="AC28" s="21"/>
      <c r="AD28" s="198" t="s">
        <v>320</v>
      </c>
    </row>
    <row r="29" spans="3:30" ht="15">
      <c r="C29" s="5" t="str">
        <f>'Default values'!P14</f>
        <v>Operating time (man hours/unit/working day)</v>
      </c>
      <c r="D29" s="223">
        <f>'Default values'!Q14</f>
        <v>3</v>
      </c>
      <c r="E29" s="21"/>
      <c r="F29" s="195" t="s">
        <v>320</v>
      </c>
      <c r="G29" s="21"/>
      <c r="H29" s="223">
        <f>'Default values'!R14</f>
        <v>3</v>
      </c>
      <c r="I29" s="21"/>
      <c r="J29" s="195" t="s">
        <v>320</v>
      </c>
      <c r="K29" s="21"/>
      <c r="L29" s="223">
        <f>'Default values'!S14</f>
        <v>3</v>
      </c>
      <c r="M29" s="21"/>
      <c r="N29" s="195" t="s">
        <v>320</v>
      </c>
      <c r="O29" s="21"/>
      <c r="P29" s="223">
        <f>'Default values'!T14</f>
        <v>3</v>
      </c>
      <c r="Q29" s="21"/>
      <c r="R29" s="195" t="s">
        <v>320</v>
      </c>
      <c r="S29" s="21"/>
      <c r="T29" s="223">
        <f>'Default values'!U14</f>
        <v>3</v>
      </c>
      <c r="U29" s="21"/>
      <c r="V29" s="195" t="s">
        <v>320</v>
      </c>
      <c r="W29" s="21"/>
      <c r="X29" s="223">
        <f>'Default values'!V14</f>
        <v>3</v>
      </c>
      <c r="Y29" s="21"/>
      <c r="Z29" s="195" t="s">
        <v>320</v>
      </c>
      <c r="AA29" s="202"/>
      <c r="AB29" s="223">
        <f>'Default values'!W14</f>
        <v>3</v>
      </c>
      <c r="AC29" s="21"/>
      <c r="AD29" s="198" t="s">
        <v>320</v>
      </c>
    </row>
    <row r="30" spans="3:30" ht="15">
      <c r="C30" s="5" t="str">
        <f>'Default values'!P15</f>
        <v>Number of catering operatives to operate pre-treatment unit(s)</v>
      </c>
      <c r="D30" s="223">
        <f>'Default values'!Q15</f>
        <v>1</v>
      </c>
      <c r="E30" s="21"/>
      <c r="F30" s="195" t="s">
        <v>320</v>
      </c>
      <c r="G30" s="21"/>
      <c r="H30" s="223">
        <f>'Default values'!R15</f>
        <v>1</v>
      </c>
      <c r="I30" s="21"/>
      <c r="J30" s="195" t="s">
        <v>320</v>
      </c>
      <c r="K30" s="21"/>
      <c r="L30" s="223">
        <f>'Default values'!S15</f>
        <v>1</v>
      </c>
      <c r="M30" s="21"/>
      <c r="N30" s="195" t="s">
        <v>320</v>
      </c>
      <c r="O30" s="21"/>
      <c r="P30" s="223">
        <f>'Default values'!T15</f>
        <v>1</v>
      </c>
      <c r="Q30" s="21"/>
      <c r="R30" s="195" t="s">
        <v>320</v>
      </c>
      <c r="S30" s="21"/>
      <c r="T30" s="223">
        <f>'Default values'!U15</f>
        <v>1</v>
      </c>
      <c r="U30" s="21"/>
      <c r="V30" s="195" t="s">
        <v>320</v>
      </c>
      <c r="W30" s="21"/>
      <c r="X30" s="223">
        <f>'Default values'!V15</f>
        <v>1</v>
      </c>
      <c r="Y30" s="21"/>
      <c r="Z30" s="195" t="s">
        <v>320</v>
      </c>
      <c r="AA30" s="202"/>
      <c r="AB30" s="223">
        <f>'Default values'!W15</f>
        <v>1</v>
      </c>
      <c r="AC30" s="21"/>
      <c r="AD30" s="198" t="s">
        <v>320</v>
      </c>
    </row>
    <row r="31" spans="3:30" ht="15">
      <c r="C31" s="5" t="str">
        <f>'Default values'!P16</f>
        <v>Electrical power (kW/unit)</v>
      </c>
      <c r="D31" s="223" t="str">
        <f>MIN('Default values'!H10:H14)&amp;" to "&amp;MAX('Default values'!H10:H14)</f>
        <v>20 to 40</v>
      </c>
      <c r="E31" s="21"/>
      <c r="F31" s="195" t="s">
        <v>320</v>
      </c>
      <c r="G31" s="21"/>
      <c r="H31" s="223" t="str">
        <f>MIN('Default values'!H20:H24)&amp;" to "&amp;MAX('Default values'!H20:H24)</f>
        <v>3.7 to 7.4</v>
      </c>
      <c r="I31" s="21"/>
      <c r="J31" s="195" t="s">
        <v>320</v>
      </c>
      <c r="K31" s="21"/>
      <c r="L31" s="223" t="str">
        <f>MIN('Default values'!H30:H34)&amp;" to "&amp;MAX('Default values'!H30:H34)</f>
        <v>20 to 100</v>
      </c>
      <c r="M31" s="21"/>
      <c r="N31" s="195" t="s">
        <v>320</v>
      </c>
      <c r="O31" s="21"/>
      <c r="P31" s="223" t="str">
        <f>MIN('Default values'!H40:H44)&amp;" to "&amp;MAX('Default values'!H40:H44)</f>
        <v>2.2 to 5.1</v>
      </c>
      <c r="Q31" s="21"/>
      <c r="R31" s="195" t="s">
        <v>320</v>
      </c>
      <c r="S31" s="21"/>
      <c r="T31" s="223" t="str">
        <f>MIN('Default values'!H50:H54)&amp;" to "&amp;MAX('Default values'!H50:H54)</f>
        <v>1 to 8</v>
      </c>
      <c r="U31" s="21"/>
      <c r="V31" s="195" t="s">
        <v>320</v>
      </c>
      <c r="W31" s="21"/>
      <c r="X31" s="223" t="str">
        <f>MIN('Default values'!H60:H64)&amp;" to "&amp;MAX('Default values'!H60:H64)</f>
        <v>1.4 to 24.7</v>
      </c>
      <c r="Y31" s="21"/>
      <c r="Z31" s="195" t="s">
        <v>320</v>
      </c>
      <c r="AA31" s="202"/>
      <c r="AB31" s="223" t="str">
        <f>MIN('Default values'!H70:H74)&amp;" to "&amp;MAX('Default values'!H70:H74)</f>
        <v>0 to 0</v>
      </c>
      <c r="AC31" s="21"/>
      <c r="AD31" s="198" t="s">
        <v>320</v>
      </c>
    </row>
    <row r="32" spans="3:30" ht="15">
      <c r="C32" s="5" t="str">
        <f>'Default values'!P17</f>
        <v>Water use (l/unit/h)</v>
      </c>
      <c r="D32" s="223" t="str">
        <f>MIN('Default values'!I10:I14)&amp;" to "&amp;MAX('Default values'!I10:I14)</f>
        <v>1 to 1</v>
      </c>
      <c r="E32" s="21"/>
      <c r="F32" s="195" t="s">
        <v>320</v>
      </c>
      <c r="G32" s="21"/>
      <c r="H32" s="223" t="str">
        <f>MIN('Default values'!I20:I24)&amp;" to "&amp;MAX('Default values'!I20:I24)</f>
        <v>78 to 156</v>
      </c>
      <c r="I32" s="21"/>
      <c r="J32" s="195" t="s">
        <v>320</v>
      </c>
      <c r="K32" s="21"/>
      <c r="L32" s="223" t="str">
        <f>MIN('Default values'!I30:I34)&amp;" to "&amp;MAX('Default values'!I30:I34)</f>
        <v>0 to 156</v>
      </c>
      <c r="M32" s="21"/>
      <c r="N32" s="195" t="s">
        <v>320</v>
      </c>
      <c r="O32" s="21"/>
      <c r="P32" s="223" t="str">
        <f>MIN('Default values'!I40:I44)&amp;" to "&amp;MAX('Default values'!I40:I44)</f>
        <v>300 to 600</v>
      </c>
      <c r="Q32" s="21"/>
      <c r="R32" s="195" t="s">
        <v>320</v>
      </c>
      <c r="S32" s="21"/>
      <c r="T32" s="223" t="str">
        <f>MIN('Default values'!I50:I54)&amp;" to "&amp;MAX('Default values'!I50:I54)</f>
        <v>0 to 0</v>
      </c>
      <c r="U32" s="21"/>
      <c r="V32" s="195" t="s">
        <v>320</v>
      </c>
      <c r="W32" s="21"/>
      <c r="X32" s="223" t="str">
        <f>MIN('Default values'!I60:I64)&amp;" to "&amp;MAX('Default values'!I60:I64)</f>
        <v>0 to 0</v>
      </c>
      <c r="Y32" s="21"/>
      <c r="Z32" s="195" t="s">
        <v>320</v>
      </c>
      <c r="AA32" s="202"/>
      <c r="AB32" s="223" t="str">
        <f>MIN('Default values'!I70:I74)&amp;" to "&amp;MAX('Default values'!I70:I74)</f>
        <v>0 to 0</v>
      </c>
      <c r="AC32" s="21"/>
      <c r="AD32" s="198" t="s">
        <v>320</v>
      </c>
    </row>
    <row r="33" spans="3:30" ht="15">
      <c r="C33" s="5" t="str">
        <f>'Default values'!P18</f>
        <v>% food waste to sewer or atmosphere (% by mass)</v>
      </c>
      <c r="D33" s="224" t="str">
        <f>MIN('Default values'!J10:J14)&amp;" to "&amp;MAX('Default values'!J10:J14)</f>
        <v>0 to 0</v>
      </c>
      <c r="E33" s="21"/>
      <c r="F33" s="195" t="s">
        <v>320</v>
      </c>
      <c r="G33" s="21"/>
      <c r="H33" s="224" t="str">
        <f>MIN('Default values'!J20:J24)&amp;" to "&amp;MAX('Default values'!J20:J24)</f>
        <v>0 to 0</v>
      </c>
      <c r="I33" s="21"/>
      <c r="J33" s="195" t="s">
        <v>320</v>
      </c>
      <c r="K33" s="21"/>
      <c r="L33" s="224" t="str">
        <f>MIN('Default values'!J30:J34)&amp;" to "&amp;MAX('Default values'!J30:J34)</f>
        <v>50 to 70</v>
      </c>
      <c r="M33" s="21"/>
      <c r="N33" s="195" t="s">
        <v>320</v>
      </c>
      <c r="O33" s="21"/>
      <c r="P33" s="224" t="str">
        <f>MIN('Default values'!J40:J44)&amp;" to "&amp;MAX('Default values'!J40:J44)</f>
        <v>30 to 50</v>
      </c>
      <c r="Q33" s="21"/>
      <c r="R33" s="195" t="s">
        <v>320</v>
      </c>
      <c r="S33" s="21"/>
      <c r="T33" s="224" t="str">
        <f>MIN('Default values'!J50:J54)&amp;" to "&amp;MAX('Default values'!J50:J54)</f>
        <v>87.5 to 90</v>
      </c>
      <c r="U33" s="21"/>
      <c r="V33" s="195" t="s">
        <v>320</v>
      </c>
      <c r="W33" s="21"/>
      <c r="X33" s="224" t="str">
        <f>MIN('Default values'!J60:J64)&amp;" to "&amp;MAX('Default values'!J60:J64)</f>
        <v>90 to 90</v>
      </c>
      <c r="Y33" s="21"/>
      <c r="Z33" s="195" t="s">
        <v>320</v>
      </c>
      <c r="AA33" s="202"/>
      <c r="AB33" s="224" t="str">
        <f>MIN('Default values'!J70:J74)&amp;" to "&amp;MAX('Default values'!J70:J74)</f>
        <v>0 to 0</v>
      </c>
      <c r="AC33" s="21"/>
      <c r="AD33" s="198" t="s">
        <v>320</v>
      </c>
    </row>
    <row r="34" spans="3:30" ht="15">
      <c r="C34" s="5" t="s">
        <v>352</v>
      </c>
      <c r="D34" s="224" t="str">
        <f>MIN('Default values'!K10:K14)&amp;" to "&amp;MAX('Default values'!K10:K14)</f>
        <v>1500 to 3000</v>
      </c>
      <c r="E34" s="21"/>
      <c r="F34" s="195" t="s">
        <v>320</v>
      </c>
      <c r="G34" s="21"/>
      <c r="H34" s="224" t="str">
        <f>MIN('Default values'!K20:K24)&amp;" to "&amp;MAX('Default values'!K20:K24)</f>
        <v>1620 to 3240</v>
      </c>
      <c r="I34" s="21"/>
      <c r="J34" s="195" t="s">
        <v>320</v>
      </c>
      <c r="K34" s="21"/>
      <c r="L34" s="224" t="str">
        <f>MIN('Default values'!K30:K34)&amp;" to "&amp;MAX('Default values'!K30:K34)</f>
        <v>750 to 2100</v>
      </c>
      <c r="M34" s="21"/>
      <c r="N34" s="195" t="s">
        <v>320</v>
      </c>
      <c r="O34" s="21"/>
      <c r="P34" s="224" t="str">
        <f>MIN('Default values'!K40:K44)&amp;" to "&amp;MAX('Default values'!K40:K44)</f>
        <v>200 to 900</v>
      </c>
      <c r="Q34" s="21"/>
      <c r="R34" s="195" t="s">
        <v>320</v>
      </c>
      <c r="S34" s="21"/>
      <c r="T34" s="224" t="str">
        <f>MIN('Default values'!D50:D54)&amp;" to "&amp;MAX('Default values'!D50:D54)</f>
        <v>30 to 600</v>
      </c>
      <c r="U34" s="21"/>
      <c r="V34" s="195" t="s">
        <v>320</v>
      </c>
      <c r="W34" s="21"/>
      <c r="X34" s="224" t="str">
        <f>MIN('Default values'!D60:D64)&amp;" to "&amp;MAX('Default values'!D60:D64)</f>
        <v>20 to 600</v>
      </c>
      <c r="Y34" s="21"/>
      <c r="Z34" s="195" t="s">
        <v>320</v>
      </c>
      <c r="AA34" s="202"/>
      <c r="AB34" s="224" t="s">
        <v>353</v>
      </c>
      <c r="AC34" s="21"/>
      <c r="AD34" s="198" t="s">
        <v>320</v>
      </c>
    </row>
    <row r="35" spans="3:30" ht="15">
      <c r="C35" s="5" t="str">
        <f>'Default values'!P20</f>
        <v>Bulk density of waste for collection (kg/m3)</v>
      </c>
      <c r="D35" s="223">
        <f>'Default values'!Q20</f>
        <v>900</v>
      </c>
      <c r="E35" s="21"/>
      <c r="F35" s="195" t="s">
        <v>320</v>
      </c>
      <c r="G35" s="21"/>
      <c r="H35" s="223">
        <f>'Default values'!R20</f>
        <v>960</v>
      </c>
      <c r="I35" s="21"/>
      <c r="J35" s="195" t="s">
        <v>320</v>
      </c>
      <c r="K35" s="21"/>
      <c r="L35" s="223">
        <f>'Default values'!S20</f>
        <v>900</v>
      </c>
      <c r="M35" s="21"/>
      <c r="N35" s="195" t="s">
        <v>320</v>
      </c>
      <c r="O35" s="21"/>
      <c r="P35" s="223">
        <f>'Default values'!T20</f>
        <v>900</v>
      </c>
      <c r="Q35" s="21"/>
      <c r="R35" s="195" t="s">
        <v>320</v>
      </c>
      <c r="S35" s="21"/>
      <c r="T35" s="223">
        <f>'Default values'!U20</f>
        <v>800</v>
      </c>
      <c r="U35" s="21"/>
      <c r="V35" s="195" t="s">
        <v>320</v>
      </c>
      <c r="W35" s="21"/>
      <c r="X35" s="223">
        <f>'Default values'!V20</f>
        <v>800</v>
      </c>
      <c r="Y35" s="21"/>
      <c r="Z35" s="195" t="s">
        <v>320</v>
      </c>
      <c r="AA35" s="202"/>
      <c r="AB35" s="223">
        <f>'Default values'!W20</f>
        <v>600</v>
      </c>
      <c r="AC35" s="21"/>
      <c r="AD35" s="198" t="s">
        <v>320</v>
      </c>
    </row>
    <row r="36" spans="3:30" ht="15">
      <c r="C36" s="5" t="str">
        <f>'Default values'!P21</f>
        <v>Bin/tank size (litres)</v>
      </c>
      <c r="D36" s="223">
        <f>'Default values'!Q21</f>
        <v>7000</v>
      </c>
      <c r="E36" s="21"/>
      <c r="F36" s="195" t="s">
        <v>320</v>
      </c>
      <c r="G36" s="21"/>
      <c r="H36" s="223">
        <f>'Default values'!R21</f>
        <v>5000</v>
      </c>
      <c r="I36" s="21"/>
      <c r="J36" s="195" t="s">
        <v>320</v>
      </c>
      <c r="K36" s="21"/>
      <c r="L36" s="223">
        <f>'Default values'!S21</f>
        <v>120</v>
      </c>
      <c r="M36" s="21"/>
      <c r="N36" s="195" t="s">
        <v>320</v>
      </c>
      <c r="O36" s="21"/>
      <c r="P36" s="223">
        <f>'Default values'!T21</f>
        <v>120</v>
      </c>
      <c r="Q36" s="21"/>
      <c r="R36" s="195" t="s">
        <v>320</v>
      </c>
      <c r="S36" s="21"/>
      <c r="T36" s="223">
        <f>'Default values'!U21</f>
        <v>120</v>
      </c>
      <c r="U36" s="21"/>
      <c r="V36" s="195" t="s">
        <v>320</v>
      </c>
      <c r="W36" s="21"/>
      <c r="X36" s="223">
        <f>'Default values'!V21</f>
        <v>120</v>
      </c>
      <c r="Y36" s="21"/>
      <c r="Z36" s="195" t="s">
        <v>320</v>
      </c>
      <c r="AA36" s="202"/>
      <c r="AB36" s="223">
        <f>'Default values'!W21</f>
        <v>120</v>
      </c>
      <c r="AC36" s="21"/>
      <c r="AD36" s="198" t="s">
        <v>320</v>
      </c>
    </row>
    <row r="37" spans="3:30" ht="15">
      <c r="C37" s="5" t="str">
        <f>'Default values'!P22</f>
        <v>Bin/tank emptied at X % of full</v>
      </c>
      <c r="D37" s="223">
        <f>'Default values'!Q22</f>
        <v>70</v>
      </c>
      <c r="E37" s="21"/>
      <c r="F37" s="195" t="s">
        <v>320</v>
      </c>
      <c r="G37" s="21"/>
      <c r="H37" s="223">
        <f>'Default values'!R22</f>
        <v>70</v>
      </c>
      <c r="I37" s="21"/>
      <c r="J37" s="195" t="s">
        <v>320</v>
      </c>
      <c r="K37" s="21"/>
      <c r="L37" s="223">
        <f>'Default values'!S22</f>
        <v>100</v>
      </c>
      <c r="M37" s="21"/>
      <c r="N37" s="195" t="s">
        <v>320</v>
      </c>
      <c r="O37" s="21"/>
      <c r="P37" s="223">
        <f>'Default values'!T22</f>
        <v>100</v>
      </c>
      <c r="Q37" s="21"/>
      <c r="R37" s="195" t="s">
        <v>320</v>
      </c>
      <c r="S37" s="21"/>
      <c r="T37" s="223">
        <f>'Default values'!U22</f>
        <v>100</v>
      </c>
      <c r="U37" s="21"/>
      <c r="V37" s="195" t="s">
        <v>320</v>
      </c>
      <c r="W37" s="21"/>
      <c r="X37" s="223">
        <f>'Default values'!V22</f>
        <v>100</v>
      </c>
      <c r="Y37" s="21"/>
      <c r="Z37" s="195" t="s">
        <v>320</v>
      </c>
      <c r="AA37" s="202"/>
      <c r="AB37" s="223">
        <f>'Default values'!W22</f>
        <v>100</v>
      </c>
      <c r="AC37" s="21"/>
      <c r="AD37" s="198" t="s">
        <v>320</v>
      </c>
    </row>
    <row r="38" spans="3:30" ht="15">
      <c r="C38" s="5" t="str">
        <f>'Default values'!P23</f>
        <v>Collection and disposal cost (£/bin lift or £/tank empty)</v>
      </c>
      <c r="D38" s="224">
        <f>'Default values'!Q23</f>
        <v>960</v>
      </c>
      <c r="E38" s="21"/>
      <c r="F38" s="195" t="s">
        <v>320</v>
      </c>
      <c r="G38" s="21"/>
      <c r="H38" s="224">
        <f>'Default values'!R23</f>
        <v>960</v>
      </c>
      <c r="I38" s="21"/>
      <c r="J38" s="195" t="s">
        <v>320</v>
      </c>
      <c r="K38" s="21"/>
      <c r="L38" s="224">
        <f>'Default values'!S23</f>
        <v>10.5</v>
      </c>
      <c r="M38" s="21"/>
      <c r="N38" s="195" t="s">
        <v>320</v>
      </c>
      <c r="O38" s="21"/>
      <c r="P38" s="224">
        <f>'Default values'!T23</f>
        <v>10.5</v>
      </c>
      <c r="Q38" s="21"/>
      <c r="R38" s="195" t="s">
        <v>320</v>
      </c>
      <c r="S38" s="21"/>
      <c r="T38" s="224">
        <f>'Default values'!U23</f>
        <v>10.5</v>
      </c>
      <c r="U38" s="21"/>
      <c r="V38" s="195" t="s">
        <v>320</v>
      </c>
      <c r="W38" s="21"/>
      <c r="X38" s="224">
        <f>'Default values'!V23</f>
        <v>10.5</v>
      </c>
      <c r="Y38" s="21"/>
      <c r="Z38" s="195" t="s">
        <v>320</v>
      </c>
      <c r="AA38" s="202"/>
      <c r="AB38" s="224">
        <f>'Default values'!W23</f>
        <v>10.5</v>
      </c>
      <c r="AC38" s="21"/>
      <c r="AD38" s="198" t="s">
        <v>320</v>
      </c>
    </row>
    <row r="39" spans="3:30" ht="15">
      <c r="C39" s="5" t="str">
        <f>'Default values'!P24</f>
        <v>Labour requirement - portering operative (man hours/working day)</v>
      </c>
      <c r="D39" s="224">
        <f>'Default values'!Q24</f>
        <v>0</v>
      </c>
      <c r="E39" s="21"/>
      <c r="F39" s="195" t="s">
        <v>320</v>
      </c>
      <c r="G39" s="21"/>
      <c r="H39" s="224">
        <f>'Default values'!R24</f>
        <v>0</v>
      </c>
      <c r="I39" s="21"/>
      <c r="J39" s="195" t="s">
        <v>320</v>
      </c>
      <c r="K39" s="21"/>
      <c r="L39" s="224">
        <f>'Default values'!S24</f>
        <v>3</v>
      </c>
      <c r="M39" s="21"/>
      <c r="N39" s="195" t="s">
        <v>320</v>
      </c>
      <c r="O39" s="21"/>
      <c r="P39" s="224">
        <f>'Default values'!T24</f>
        <v>3</v>
      </c>
      <c r="Q39" s="21"/>
      <c r="R39" s="195" t="s">
        <v>320</v>
      </c>
      <c r="S39" s="21"/>
      <c r="T39" s="224">
        <f>'Default values'!U24</f>
        <v>3</v>
      </c>
      <c r="U39" s="21"/>
      <c r="V39" s="195" t="s">
        <v>320</v>
      </c>
      <c r="W39" s="21"/>
      <c r="X39" s="224">
        <f>'Default values'!V24</f>
        <v>3</v>
      </c>
      <c r="Y39" s="21"/>
      <c r="Z39" s="195" t="s">
        <v>320</v>
      </c>
      <c r="AA39" s="202"/>
      <c r="AB39" s="224">
        <f>'Default values'!W24</f>
        <v>3</v>
      </c>
      <c r="AC39" s="21"/>
      <c r="AD39" s="198" t="s">
        <v>320</v>
      </c>
    </row>
    <row r="40" spans="3:30" ht="15.75" thickBot="1">
      <c r="C40" s="6" t="str">
        <f>'Default values'!P25</f>
        <v>Labour requirement - catering management (man hours/working day)</v>
      </c>
      <c r="D40" s="225">
        <f>'Default values'!Q25</f>
        <v>0.4</v>
      </c>
      <c r="E40" s="199"/>
      <c r="F40" s="200" t="s">
        <v>320</v>
      </c>
      <c r="G40" s="199"/>
      <c r="H40" s="225">
        <f>'Default values'!R25</f>
        <v>0.4</v>
      </c>
      <c r="I40" s="199"/>
      <c r="J40" s="200" t="s">
        <v>320</v>
      </c>
      <c r="K40" s="199"/>
      <c r="L40" s="225">
        <f>'Default values'!S25</f>
        <v>0.9</v>
      </c>
      <c r="M40" s="199"/>
      <c r="N40" s="200" t="s">
        <v>320</v>
      </c>
      <c r="O40" s="199"/>
      <c r="P40" s="225">
        <f>'Default values'!T25</f>
        <v>0.9</v>
      </c>
      <c r="Q40" s="199"/>
      <c r="R40" s="200" t="s">
        <v>320</v>
      </c>
      <c r="S40" s="199"/>
      <c r="T40" s="225">
        <f>'Default values'!U25</f>
        <v>0.9</v>
      </c>
      <c r="U40" s="199"/>
      <c r="V40" s="200" t="s">
        <v>320</v>
      </c>
      <c r="W40" s="199"/>
      <c r="X40" s="225">
        <f>'Default values'!V25</f>
        <v>0.9</v>
      </c>
      <c r="Y40" s="199"/>
      <c r="Z40" s="200" t="s">
        <v>320</v>
      </c>
      <c r="AA40" s="203"/>
      <c r="AB40" s="225">
        <f>'Default values'!W25</f>
        <v>0.9</v>
      </c>
      <c r="AC40" s="199"/>
      <c r="AD40" s="201" t="s">
        <v>320</v>
      </c>
    </row>
    <row r="41" ht="15.75" thickBot="1"/>
    <row r="42" spans="3:10" ht="15">
      <c r="C42" s="292" t="s">
        <v>37</v>
      </c>
      <c r="D42" s="300" t="s">
        <v>354</v>
      </c>
      <c r="E42" s="301"/>
      <c r="F42" s="301"/>
      <c r="G42" s="301"/>
      <c r="H42" s="301"/>
      <c r="I42" s="301"/>
      <c r="J42" s="302"/>
    </row>
    <row r="43" spans="3:10" ht="15">
      <c r="C43" s="293"/>
      <c r="D43" s="291" t="s">
        <v>39</v>
      </c>
      <c r="E43" s="303"/>
      <c r="F43" s="305"/>
      <c r="G43" s="21"/>
      <c r="H43" s="291" t="s">
        <v>40</v>
      </c>
      <c r="I43" s="303"/>
      <c r="J43" s="304"/>
    </row>
    <row r="44" spans="3:10" ht="15">
      <c r="C44" s="5" t="str">
        <f>'Default values'!P30</f>
        <v>On-site equipment cost (£/unit)</v>
      </c>
      <c r="D44" s="222" t="str">
        <f>MIN('Default values'!E84:E88)&amp;" to "&amp;MAX('Default values'!E84:E88)</f>
        <v>24238 to 42112</v>
      </c>
      <c r="E44" s="21"/>
      <c r="F44" s="195" t="s">
        <v>320</v>
      </c>
      <c r="G44" s="21"/>
      <c r="H44" s="222" t="str">
        <f>MIN('Default values'!E94:E98)&amp;" to "&amp;MAX('Default values'!E94:E98)</f>
        <v>70807 to 155040</v>
      </c>
      <c r="I44" s="21"/>
      <c r="J44" s="198" t="s">
        <v>320</v>
      </c>
    </row>
    <row r="45" spans="3:10" ht="15">
      <c r="C45" s="5" t="str">
        <f>'Default values'!P31</f>
        <v>On-site equipment installation cost (£/unit)</v>
      </c>
      <c r="D45" s="222" t="str">
        <f>MIN('Default values'!F84:F88)&amp;" to "&amp;MAX('Default values'!F84:F88)</f>
        <v>650 to 650</v>
      </c>
      <c r="E45" s="21"/>
      <c r="F45" s="195" t="s">
        <v>320</v>
      </c>
      <c r="G45" s="21"/>
      <c r="H45" s="222" t="str">
        <f>MIN('Default values'!F94:F98)&amp;" to "&amp;MAX('Default values'!F94:F98)</f>
        <v>7000 to 14000</v>
      </c>
      <c r="I45" s="21"/>
      <c r="J45" s="198" t="s">
        <v>320</v>
      </c>
    </row>
    <row r="46" spans="3:10" ht="15">
      <c r="C46" s="5" t="str">
        <f>'Default values'!P32</f>
        <v>On-site maintenance (£/unit/a)</v>
      </c>
      <c r="D46" s="222" t="s">
        <v>355</v>
      </c>
      <c r="E46" s="21"/>
      <c r="F46" s="195" t="s">
        <v>320</v>
      </c>
      <c r="G46" s="21"/>
      <c r="H46" s="222" t="str">
        <f>MIN('Default values'!G94:G98)&amp;" to "&amp;MAX('Default values'!G94:G98)</f>
        <v>2000 to 10000</v>
      </c>
      <c r="I46" s="21"/>
      <c r="J46" s="198" t="s">
        <v>320</v>
      </c>
    </row>
    <row r="47" spans="3:10" ht="15">
      <c r="C47" s="5" t="str">
        <f>'Default values'!P33</f>
        <v>On-site consumables (£/unit/a)</v>
      </c>
      <c r="D47" s="222" t="str">
        <f>MIN('Default values'!H84:H88)&amp;" to "&amp;MAX('Default values'!H84:H88)</f>
        <v>250 to 250</v>
      </c>
      <c r="E47" s="21"/>
      <c r="F47" s="195" t="s">
        <v>320</v>
      </c>
      <c r="G47" s="21"/>
      <c r="H47" s="222" t="str">
        <f>MIN('Default values'!H94:H98)&amp;" to "&amp;MAX('Default values'!H94:H98)</f>
        <v>0 to 500</v>
      </c>
      <c r="I47" s="21"/>
      <c r="J47" s="198" t="s">
        <v>320</v>
      </c>
    </row>
    <row r="48" spans="3:10" ht="15">
      <c r="C48" s="5" t="str">
        <f>'Default values'!P34</f>
        <v>On-site electricity use (kW/unit)</v>
      </c>
      <c r="D48" s="222" t="str">
        <f>MIN('Default values'!I84:I88)&amp;" to "&amp;MAX('Default values'!I84:I88)</f>
        <v>1.5 to 4.2</v>
      </c>
      <c r="E48" s="21"/>
      <c r="F48" s="195" t="s">
        <v>320</v>
      </c>
      <c r="G48" s="21"/>
      <c r="H48" s="228" t="str">
        <f>MIN('Default values'!I94:I98)&amp;" to "&amp;MAX('Default values'!I94:I98)</f>
        <v>0.128 to 0.5</v>
      </c>
      <c r="I48" s="21"/>
      <c r="J48" s="198" t="s">
        <v>320</v>
      </c>
    </row>
    <row r="49" spans="3:10" ht="15">
      <c r="C49" s="5" t="str">
        <f>'Default values'!P35</f>
        <v>On-site water use (l/unit/t)</v>
      </c>
      <c r="D49" s="226" t="str">
        <f>MIN('Default values'!J84:J88)&amp;" to "&amp;MAX('Default values'!J84:J88)</f>
        <v>0 to 0</v>
      </c>
      <c r="E49" s="21"/>
      <c r="F49" s="195" t="s">
        <v>320</v>
      </c>
      <c r="G49" s="21"/>
      <c r="H49" s="226" t="str">
        <f>MIN('Default values'!J94:J98)&amp;" to "&amp;MAX('Default values'!J94:J98)</f>
        <v>0 to 50</v>
      </c>
      <c r="I49" s="21"/>
      <c r="J49" s="198" t="s">
        <v>320</v>
      </c>
    </row>
    <row r="50" spans="3:10" ht="15">
      <c r="C50" s="5" t="str">
        <f>'Default values'!P36</f>
        <v>Income/expenditure from sale of compost/digestate (£/t)</v>
      </c>
      <c r="D50" s="222">
        <f>'Default values'!S36</f>
        <v>0</v>
      </c>
      <c r="E50" s="21"/>
      <c r="F50" s="195" t="s">
        <v>320</v>
      </c>
      <c r="G50" s="21"/>
      <c r="H50" s="222">
        <f>'Default values'!T36</f>
        <v>0</v>
      </c>
      <c r="I50" s="21"/>
      <c r="J50" s="198" t="s">
        <v>320</v>
      </c>
    </row>
    <row r="51" spans="3:10" ht="15">
      <c r="C51" s="5" t="str">
        <f>'Default values'!P37</f>
        <v>Labour requirement - estates operative (man hours/ working day)</v>
      </c>
      <c r="D51" s="222">
        <f>'Default values'!S37</f>
        <v>0.25</v>
      </c>
      <c r="E51" s="21"/>
      <c r="F51" s="195" t="s">
        <v>320</v>
      </c>
      <c r="G51" s="21"/>
      <c r="H51" s="222">
        <f>'Default values'!T37</f>
        <v>0.25</v>
      </c>
      <c r="I51" s="21"/>
      <c r="J51" s="198" t="s">
        <v>320</v>
      </c>
    </row>
    <row r="52" spans="3:10" ht="15.75" thickBot="1">
      <c r="C52" s="6" t="str">
        <f>'Default values'!P38</f>
        <v>Loss of fresh matter through process (%)</v>
      </c>
      <c r="D52" s="227">
        <f>'Default values'!S38</f>
        <v>80</v>
      </c>
      <c r="E52" s="199"/>
      <c r="F52" s="200" t="s">
        <v>320</v>
      </c>
      <c r="G52" s="199"/>
      <c r="H52" s="227">
        <f>'Default values'!T38</f>
        <v>3</v>
      </c>
      <c r="I52" s="199"/>
      <c r="J52" s="201" t="s">
        <v>320</v>
      </c>
    </row>
    <row r="53" ht="15.75" thickBot="1"/>
    <row r="54" spans="3:10" ht="15">
      <c r="C54" s="292" t="s">
        <v>177</v>
      </c>
      <c r="D54" s="300" t="s">
        <v>38</v>
      </c>
      <c r="E54" s="301"/>
      <c r="F54" s="301"/>
      <c r="G54" s="301"/>
      <c r="H54" s="301"/>
      <c r="I54" s="301"/>
      <c r="J54" s="302"/>
    </row>
    <row r="55" spans="3:11" ht="15">
      <c r="C55" s="293"/>
      <c r="D55" s="286" t="s">
        <v>356</v>
      </c>
      <c r="E55" s="286"/>
      <c r="F55" s="286"/>
      <c r="G55" s="21"/>
      <c r="H55" s="286" t="s">
        <v>357</v>
      </c>
      <c r="I55" s="286"/>
      <c r="J55" s="287"/>
      <c r="K55" s="21"/>
    </row>
    <row r="56" spans="3:11" ht="15">
      <c r="C56" s="5" t="str">
        <f>'Default values'!P42</f>
        <v>Labour requirement - estates management (man hours/ working day)</v>
      </c>
      <c r="D56" s="66">
        <f>'Default values'!Q42</f>
        <v>0</v>
      </c>
      <c r="E56" s="21"/>
      <c r="F56" s="217" t="s">
        <v>320</v>
      </c>
      <c r="G56" s="21"/>
      <c r="H56" s="215">
        <f>'Default values'!S42</f>
        <v>0.26666666666666666</v>
      </c>
      <c r="I56" s="21"/>
      <c r="J56" s="218" t="s">
        <v>320</v>
      </c>
      <c r="K56" s="21"/>
    </row>
    <row r="57" spans="3:11" ht="15">
      <c r="C57" s="5" t="str">
        <f>'Default values'!P43</f>
        <v>Labour requirement - set up professional support (man hrs in year 1)</v>
      </c>
      <c r="D57" s="39">
        <f>'Default values'!Q43</f>
        <v>8</v>
      </c>
      <c r="E57" s="21"/>
      <c r="F57" s="195" t="s">
        <v>320</v>
      </c>
      <c r="G57" s="21"/>
      <c r="H57" s="55">
        <f>'Default values'!S43</f>
        <v>170</v>
      </c>
      <c r="I57" s="21"/>
      <c r="J57" s="198" t="s">
        <v>320</v>
      </c>
      <c r="K57" s="21"/>
    </row>
    <row r="58" spans="3:10" ht="15.75" thickBot="1">
      <c r="C58" s="6" t="str">
        <f>'Default values'!P44</f>
        <v>Labour requirement - ongoing prof. support (man hours/ each subsequent yr)</v>
      </c>
      <c r="D58" s="148">
        <f>'Default values'!Q44</f>
        <v>0</v>
      </c>
      <c r="E58" s="199"/>
      <c r="F58" s="200" t="s">
        <v>320</v>
      </c>
      <c r="G58" s="199"/>
      <c r="H58" s="41">
        <f>'Default values'!S44</f>
        <v>16</v>
      </c>
      <c r="I58" s="199"/>
      <c r="J58" s="201" t="s">
        <v>320</v>
      </c>
    </row>
    <row r="59" ht="15.75" thickBot="1"/>
    <row r="60" spans="3:6" ht="15">
      <c r="C60" s="63" t="s">
        <v>119</v>
      </c>
      <c r="D60" s="288" t="s">
        <v>26</v>
      </c>
      <c r="E60" s="289"/>
      <c r="F60" s="290"/>
    </row>
    <row r="61" spans="3:6" ht="15">
      <c r="C61" s="5" t="str">
        <f>'Default values'!P47</f>
        <v>Useful electrical output (kWh/annum)</v>
      </c>
      <c r="D61" s="39">
        <f>'Default values'!Q47</f>
        <v>0</v>
      </c>
      <c r="E61" s="21"/>
      <c r="F61" s="198" t="s">
        <v>320</v>
      </c>
    </row>
    <row r="62" spans="3:6" ht="15">
      <c r="C62" s="5" t="str">
        <f>'Default values'!P48</f>
        <v>Useful heat output (kWh/annum)</v>
      </c>
      <c r="D62" s="39">
        <f>'Default values'!Q48</f>
        <v>0</v>
      </c>
      <c r="E62" s="21"/>
      <c r="F62" s="198" t="s">
        <v>320</v>
      </c>
    </row>
    <row r="63" spans="3:6" ht="15">
      <c r="C63" s="5" t="str">
        <f>'Default values'!P49</f>
        <v>Feed in tariff value (£/kWh electrical)</v>
      </c>
      <c r="D63" s="39">
        <f>'Default values'!Q49</f>
        <v>0.152</v>
      </c>
      <c r="E63" s="21"/>
      <c r="F63" s="198" t="s">
        <v>320</v>
      </c>
    </row>
    <row r="64" spans="3:6" ht="15">
      <c r="C64" s="5" t="str">
        <f>'Default values'!P50</f>
        <v>Electricity export value (£/kWh)</v>
      </c>
      <c r="D64" s="39">
        <f>'Default values'!Q50</f>
        <v>0.046</v>
      </c>
      <c r="E64" s="21"/>
      <c r="F64" s="198" t="s">
        <v>320</v>
      </c>
    </row>
    <row r="65" spans="3:6" ht="15">
      <c r="C65" s="5" t="str">
        <f>'Default values'!P51</f>
        <v>RHI value (£/kWh thermal)</v>
      </c>
      <c r="D65" s="39">
        <f>'Default values'!Q51</f>
        <v>0.073</v>
      </c>
      <c r="E65" s="21"/>
      <c r="F65" s="198" t="s">
        <v>320</v>
      </c>
    </row>
    <row r="66" spans="3:6" ht="15.75" thickBot="1">
      <c r="C66" s="6" t="str">
        <f>'Default values'!P52</f>
        <v>Levy exemption certificate value (£/kWh)</v>
      </c>
      <c r="D66" s="41">
        <f>'Default values'!Q52</f>
        <v>0.00541</v>
      </c>
      <c r="E66" s="199"/>
      <c r="F66" s="201" t="s">
        <v>320</v>
      </c>
    </row>
    <row r="67" ht="15.75" thickBot="1"/>
    <row r="68" spans="3:10" ht="15">
      <c r="C68" s="306" t="s">
        <v>41</v>
      </c>
      <c r="D68" s="313" t="s">
        <v>36</v>
      </c>
      <c r="E68" s="314"/>
      <c r="F68" s="314"/>
      <c r="G68" s="314"/>
      <c r="H68" s="314"/>
      <c r="I68" s="314"/>
      <c r="J68" s="315"/>
    </row>
    <row r="69" spans="3:10" ht="15">
      <c r="C69" s="307"/>
      <c r="D69" s="308" t="s">
        <v>30</v>
      </c>
      <c r="E69" s="308"/>
      <c r="F69" s="308"/>
      <c r="G69" s="21"/>
      <c r="H69" s="308" t="s">
        <v>42</v>
      </c>
      <c r="I69" s="308"/>
      <c r="J69" s="309"/>
    </row>
    <row r="70" spans="3:10" ht="15">
      <c r="C70" s="26" t="str">
        <f>'Default values'!P56</f>
        <v>Number of units (write "1" for general waste option)</v>
      </c>
      <c r="D70" s="219">
        <f>'Default values'!Q56</f>
        <v>2</v>
      </c>
      <c r="E70" s="21"/>
      <c r="F70" s="217" t="s">
        <v>320</v>
      </c>
      <c r="G70" s="21"/>
      <c r="H70" s="216">
        <f>'Default values'!R56</f>
        <v>1</v>
      </c>
      <c r="I70" s="21"/>
      <c r="J70" s="218" t="s">
        <v>320</v>
      </c>
    </row>
    <row r="71" spans="3:10" ht="15">
      <c r="C71" s="26" t="str">
        <f>'Default values'!P57</f>
        <v>Processing time (hours/working day)</v>
      </c>
      <c r="D71" s="219">
        <f>'Default values'!Q57</f>
        <v>3</v>
      </c>
      <c r="E71" s="21"/>
      <c r="F71" s="195" t="s">
        <v>320</v>
      </c>
      <c r="G71" s="21"/>
      <c r="H71" s="216">
        <f>'Default values'!R57</f>
        <v>3</v>
      </c>
      <c r="I71" s="21"/>
      <c r="J71" s="198" t="s">
        <v>320</v>
      </c>
    </row>
    <row r="72" spans="3:10" ht="15">
      <c r="C72" s="26" t="str">
        <f>'Default values'!P58</f>
        <v>Number of catering operatives to operate pre-treatment</v>
      </c>
      <c r="D72" s="219">
        <f>'Default values'!Q58</f>
        <v>2</v>
      </c>
      <c r="E72" s="21"/>
      <c r="F72" s="195" t="s">
        <v>320</v>
      </c>
      <c r="G72" s="21"/>
      <c r="H72" s="216">
        <f>'Default values'!R58</f>
        <v>1</v>
      </c>
      <c r="I72" s="21"/>
      <c r="J72" s="218" t="s">
        <v>320</v>
      </c>
    </row>
    <row r="73" spans="3:10" ht="15">
      <c r="C73" s="26" t="str">
        <f>'Default values'!P59</f>
        <v>Equipment cost (£/unit)</v>
      </c>
      <c r="D73" s="219">
        <f>'Default values'!Q59</f>
        <v>3000</v>
      </c>
      <c r="E73" s="21"/>
      <c r="F73" s="195" t="s">
        <v>320</v>
      </c>
      <c r="G73" s="21"/>
      <c r="H73" s="216">
        <f>'Default values'!R59</f>
        <v>0</v>
      </c>
      <c r="I73" s="21"/>
      <c r="J73" s="198" t="s">
        <v>320</v>
      </c>
    </row>
    <row r="74" spans="3:10" ht="15">
      <c r="C74" s="26" t="str">
        <f>'Default values'!P60</f>
        <v>Equipment installation costs (£/unit)</v>
      </c>
      <c r="D74" s="219">
        <f>'Default values'!Q60</f>
        <v>500</v>
      </c>
      <c r="E74" s="21"/>
      <c r="F74" s="195" t="s">
        <v>320</v>
      </c>
      <c r="G74" s="21"/>
      <c r="H74" s="216">
        <f>'Default values'!R60</f>
        <v>0</v>
      </c>
      <c r="I74" s="21"/>
      <c r="J74" s="198" t="s">
        <v>320</v>
      </c>
    </row>
    <row r="75" spans="3:10" ht="15">
      <c r="C75" s="26" t="str">
        <f>'Default values'!P61</f>
        <v>Maintenance cost (£/a/unit)</v>
      </c>
      <c r="D75" s="219">
        <f>'Default values'!Q61</f>
        <v>200</v>
      </c>
      <c r="E75" s="21"/>
      <c r="F75" s="195" t="s">
        <v>320</v>
      </c>
      <c r="G75" s="21"/>
      <c r="H75" s="216">
        <f>'Default values'!R61</f>
        <v>0</v>
      </c>
      <c r="I75" s="21"/>
      <c r="J75" s="198" t="s">
        <v>320</v>
      </c>
    </row>
    <row r="76" spans="3:10" ht="15">
      <c r="C76" s="26" t="str">
        <f>'Default values'!P62</f>
        <v>Electrical power (kW/unit)</v>
      </c>
      <c r="D76" s="219">
        <f>'Default values'!Q62</f>
        <v>4.4</v>
      </c>
      <c r="E76" s="21"/>
      <c r="F76" s="195" t="s">
        <v>320</v>
      </c>
      <c r="G76" s="21"/>
      <c r="H76" s="216">
        <f>'Default values'!R62</f>
        <v>0</v>
      </c>
      <c r="I76" s="21"/>
      <c r="J76" s="198" t="s">
        <v>320</v>
      </c>
    </row>
    <row r="77" spans="3:10" ht="15">
      <c r="C77" s="26" t="str">
        <f>'Default values'!P63</f>
        <v>Water use (l/h/unit)</v>
      </c>
      <c r="D77" s="219">
        <f>'Default values'!Q63</f>
        <v>860</v>
      </c>
      <c r="E77" s="21"/>
      <c r="F77" s="195" t="s">
        <v>320</v>
      </c>
      <c r="G77" s="21"/>
      <c r="H77" s="216">
        <f>'Default values'!R63</f>
        <v>0</v>
      </c>
      <c r="I77" s="21"/>
      <c r="J77" s="198" t="s">
        <v>320</v>
      </c>
    </row>
    <row r="78" spans="3:10" ht="15.75" thickBot="1">
      <c r="C78" s="28" t="str">
        <f>'Default values'!P64</f>
        <v>% food waste to sewer (% by mass)</v>
      </c>
      <c r="D78" s="220">
        <f>'Default values'!Q64</f>
        <v>100</v>
      </c>
      <c r="E78" s="199"/>
      <c r="F78" s="200" t="s">
        <v>320</v>
      </c>
      <c r="G78" s="199"/>
      <c r="H78" s="148">
        <f>'Default values'!R64</f>
        <v>0</v>
      </c>
      <c r="I78" s="199"/>
      <c r="J78" s="201" t="s">
        <v>320</v>
      </c>
    </row>
    <row r="79" ht="15.75" thickBot="1"/>
    <row r="80" spans="3:10" ht="15">
      <c r="C80" s="306" t="s">
        <v>32</v>
      </c>
      <c r="D80" s="310" t="s">
        <v>38</v>
      </c>
      <c r="E80" s="311"/>
      <c r="F80" s="311"/>
      <c r="G80" s="311"/>
      <c r="H80" s="311"/>
      <c r="I80" s="311"/>
      <c r="J80" s="312"/>
    </row>
    <row r="81" spans="3:10" ht="15">
      <c r="C81" s="307"/>
      <c r="D81" s="308" t="s">
        <v>43</v>
      </c>
      <c r="E81" s="308"/>
      <c r="F81" s="308"/>
      <c r="G81" s="21"/>
      <c r="H81" s="308" t="s">
        <v>44</v>
      </c>
      <c r="I81" s="308"/>
      <c r="J81" s="309"/>
    </row>
    <row r="82" spans="3:10" ht="15">
      <c r="C82" s="26" t="str">
        <f>'Default values'!P68</f>
        <v>Collection and disposal cost (£/t)</v>
      </c>
      <c r="D82" s="216">
        <f>'Default values'!Q68</f>
        <v>0</v>
      </c>
      <c r="E82" s="21"/>
      <c r="F82" s="217" t="s">
        <v>320</v>
      </c>
      <c r="G82" s="21"/>
      <c r="H82" s="221">
        <f>'Default values'!R68</f>
        <v>182</v>
      </c>
      <c r="I82" s="21"/>
      <c r="J82" s="218" t="s">
        <v>320</v>
      </c>
    </row>
    <row r="83" spans="3:10" ht="15.75" thickBot="1">
      <c r="C83" s="28" t="str">
        <f>'Default values'!P69</f>
        <v>Labour requirement - portering operative (man hours/working day)</v>
      </c>
      <c r="D83" s="41">
        <f>'Default values'!Q69</f>
        <v>0</v>
      </c>
      <c r="E83" s="199"/>
      <c r="F83" s="200" t="s">
        <v>320</v>
      </c>
      <c r="G83" s="199"/>
      <c r="H83" s="148">
        <f>'Default values'!R69</f>
        <v>0</v>
      </c>
      <c r="I83" s="199"/>
      <c r="J83" s="201" t="s">
        <v>320</v>
      </c>
    </row>
  </sheetData>
  <sheetProtection sheet="1" objects="1" scenarios="1" formatColumns="0"/>
  <mergeCells count="30">
    <mergeCell ref="C80:C81"/>
    <mergeCell ref="H81:J81"/>
    <mergeCell ref="D81:F81"/>
    <mergeCell ref="D80:J80"/>
    <mergeCell ref="C68:C69"/>
    <mergeCell ref="H69:J69"/>
    <mergeCell ref="D69:F69"/>
    <mergeCell ref="D68:J68"/>
    <mergeCell ref="D54:J54"/>
    <mergeCell ref="D60:F60"/>
    <mergeCell ref="H43:J43"/>
    <mergeCell ref="D42:J42"/>
    <mergeCell ref="C54:C55"/>
    <mergeCell ref="D55:F55"/>
    <mergeCell ref="H55:J55"/>
    <mergeCell ref="C42:C43"/>
    <mergeCell ref="D43:F43"/>
    <mergeCell ref="C23:C24"/>
    <mergeCell ref="D24:F24"/>
    <mergeCell ref="H24:J24"/>
    <mergeCell ref="C2:M2"/>
    <mergeCell ref="C3:D3"/>
    <mergeCell ref="C7:F7"/>
    <mergeCell ref="C18:F18"/>
    <mergeCell ref="AB24:AD24"/>
    <mergeCell ref="D23:AD23"/>
    <mergeCell ref="L24:N24"/>
    <mergeCell ref="P24:R24"/>
    <mergeCell ref="T24:V24"/>
    <mergeCell ref="X24:Z24"/>
  </mergeCells>
  <dataValidations count="37">
    <dataValidation allowBlank="1" showInputMessage="1" showErrorMessage="1" prompt="Zero Waste Scotland report:&#10;http://www.zerowastescotland.org.uk/sites/files/wrap/ZWS_Implementing_a_water_minimisation_programme_a%20_complete_guide_for_organisations_in_Scotland.pdf" sqref="F8"/>
    <dataValidation allowBlank="1" showInputMessage="1" showErrorMessage="1" prompt="https://www.gov.uk/government/uploads/system/uploads/attachment_data/file/65940/7341-quarterly-energy-prices-december-2012.pdf&#10;&#10;See table 3.4.2" sqref="F9"/>
    <dataValidation allowBlank="1" showInputMessage="1" showErrorMessage="1" prompt="ORA estimate based on Cost of bags 8.37 for 200 bags each containing 7.5 kg. &#10;" sqref="J75"/>
    <dataValidation allowBlank="1" showInputMessage="1" showErrorMessage="1" prompt="ORA estimate based on band 1 at 14,653 £/a, 365 d/a minus 104 days at weekends, 8 day bank holidays and 20 days leave." sqref="F10"/>
    <dataValidation allowBlank="1" showInputMessage="1" showErrorMessage="1" prompt="ORA estimate based on band 5 at 24,312 £/a, 365 d/a minus 104 days at weekends, 8 day bank holidays and 25 days leave." sqref="F11:F12"/>
    <dataValidation allowBlank="1" showInputMessage="1" showErrorMessage="1" prompt="ORA estimated based on band 7 at 35,536 £/a, 365 d/a minus 104 days at weekends, 8 day bank holidays and 25 days leave." sqref="F13"/>
    <dataValidation allowBlank="1" showInputMessage="1" showErrorMessage="1" prompt="Based on 650 £/day over 7.4 hours/day." sqref="F14"/>
    <dataValidation allowBlank="1" showInputMessage="1" showErrorMessage="1" prompt="This has been set to zero as default so that no change is accounted for for sewerage. For more information please refer to the &quot;Information&quot; tab. " sqref="F15"/>
    <dataValidation allowBlank="1" showInputMessage="1" showErrorMessage="1" prompt="From HFS data from Ayreshire and Glasgow. Average of all hospitals studied. " sqref="F19"/>
    <dataValidation allowBlank="1" showInputMessage="1" showErrorMessage="1" prompt="Average of hospitals operating from raw in HFS data from Glasgow and Ayrshire. " sqref="F20"/>
    <dataValidation allowBlank="1" showInputMessage="1" showErrorMessage="1" prompt="Average of hospitals operating from CF/CC in HFS data from Glasgow and Ayrshire. " sqref="F21"/>
    <dataValidation allowBlank="1" showInputMessage="1" showErrorMessage="1" prompt="Technology provider estimate" sqref="F25:F27 J31:J36 V31:V35 F31:F34 F36 N25:N27 N31:N35 R25:R27 R31:R35 J25:J27 V25:V28 Z31:Z35 Z25:Z28 F44:F49 F51:F52 J44:J49 J51"/>
    <dataValidation allowBlank="1" showInputMessage="1" showErrorMessage="1" prompt="Based on discussions with hospital catering managers. " sqref="F28:F30 J28:J30 N28:N30 R28:R30 V29:V30 Z29:Z30"/>
    <dataValidation allowBlank="1" showInputMessage="1" showErrorMessage="1" prompt="ORA estimate" sqref="F37 J37 N36:N37 N39 R36:R37 R39 V36:V37 V39 Z36:Z37 Z39 J52 F50 J50 F77"/>
    <dataValidation allowBlank="1" showInputMessage="1" showErrorMessage="1" prompt="Collection company estimate (see ORA report) of 80 £/t for a 12,000 litre tank. " sqref="F38 J38"/>
    <dataValidation allowBlank="1" showInputMessage="1" showErrorMessage="1" prompt="Portering not required" sqref="F39 J39"/>
    <dataValidation allowBlank="1" showInputMessage="1" showErrorMessage="1" prompt="ORA estimate based on assumption of 2 hours per week for managing collection of waste. Time for managing catering operatives assumed small. " sqref="F40 J40"/>
    <dataValidation allowBlank="1" showInputMessage="1" showErrorMessage="1" prompt="ORA estimate based on type B technology." sqref="F35"/>
    <dataValidation allowBlank="1" showInputMessage="1" showErrorMessage="1" prompt="Estimate from collection company of 9-12 £/lift for a 120 litre bin, even if just one per day." sqref="N38 R38 V38 Z38"/>
    <dataValidation allowBlank="1" showInputMessage="1" showErrorMessage="1" prompt="Half an hour a day is assumed for managing the porters moving waste to collection point. Then 2 hours per week for managing collection of waste." sqref="N40 R40 V40 Z40"/>
    <dataValidation allowBlank="1" showInputMessage="1" showErrorMessage="1" prompt="To cover support in setting up collection to make sure the receving facility is correctly licenced to receive hospital waste." sqref="F57"/>
    <dataValidation allowBlank="1" showInputMessage="1" showErrorMessage="1" prompt="Assumption of 8 hours in 30 days." sqref="J56"/>
    <dataValidation allowBlank="1" showInputMessage="1" showErrorMessage="1" prompt="Based on £15k and £88/hour." sqref="J57"/>
    <dataValidation allowBlank="1" showInputMessage="1" showErrorMessage="1" prompt="Based on 8 hours every 6 months (site day visit)." sqref="J58"/>
    <dataValidation allowBlank="1" showInputMessage="1" showErrorMessage="1" prompt="If viable energy can be produced this needs to be established on a technology provider specific basis. " sqref="F61:F62"/>
    <dataValidation allowBlank="1" showInputMessage="1" showErrorMessage="1" prompt="https://www.ofgem.gov.uk/ofgem-publications/58940/fit-tariff-table-1-april-2013-non-pv-only.pdf" sqref="F63:F64"/>
    <dataValidation allowBlank="1" showInputMessage="1" showErrorMessage="1" prompt="https://www.ofgem.gov.uk/environmental-programmes/renewable-heat-incentive-rhi/tariffs-and-payments" sqref="F65"/>
    <dataValidation allowBlank="1" showInputMessage="1" showErrorMessage="1" prompt="http://customs.hmrc.gov.uk/channelsPortalWebApp/channelsPortalWebApp.portal?_nfpb=true&amp;_pageLabel=pageExcise_RatesCodesTools&amp;propertyType=document&amp;id=HMCE_PROD1_031183" sqref="F66"/>
    <dataValidation allowBlank="1" showInputMessage="1" showErrorMessage="1" prompt="Variable, but estimate based on a hospital where one is for plate scraping and another for production waste. " sqref="F70"/>
    <dataValidation allowBlank="1" showInputMessage="1" showErrorMessage="1" prompt="Based on discussions with hospital managers. " sqref="F71 J71"/>
    <dataValidation allowBlank="1" showInputMessage="1" showErrorMessage="1" prompt="One for each macerator" sqref="F72"/>
    <dataValidation allowBlank="1" showInputMessage="1" showErrorMessage="1" prompt="From discussion with hospitals" sqref="F73 F75"/>
    <dataValidation allowBlank="1" showInputMessage="1" showErrorMessage="1" prompt="ORA estimate based on type D technology (pre-treatment)" sqref="F74"/>
    <dataValidation allowBlank="1" showInputMessage="1" showErrorMessage="1" prompt="Based on Type D pre-treatment (macerator part only, excluding centrifuges)." sqref="F76"/>
    <dataValidation allowBlank="1" showInputMessage="1" showErrorMessage="1" prompt="&quot;1&quot; required to make calculator function. " sqref="J70 J72"/>
    <dataValidation allowBlank="1" showInputMessage="1" showErrorMessage="1" prompt="Based on price of organics collection and diposal (above) being 125 to 167 £/t and the margin on the organics gate fee to MBT being 76-40 = 36 £/t" sqref="J82"/>
    <dataValidation allowBlank="1" showInputMessage="1" showErrorMessage="1" prompt="ORA estimate - zero time associated with food waste because if food waste is removed from general waste then the portering time for general waste will not be reduced." sqref="J83"/>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tabColor theme="9" tint="0.39998000860214233"/>
  </sheetPr>
  <dimension ref="C2:X101"/>
  <sheetViews>
    <sheetView zoomScalePageLayoutView="0" workbookViewId="0" topLeftCell="A1">
      <selection activeCell="A19" sqref="A19"/>
    </sheetView>
  </sheetViews>
  <sheetFormatPr defaultColWidth="9.140625" defaultRowHeight="15"/>
  <cols>
    <col min="2" max="2" width="2.8515625" style="0" customWidth="1"/>
    <col min="3" max="3" width="16.8515625" style="0" customWidth="1"/>
    <col min="4" max="4" width="12.140625" style="0" customWidth="1"/>
    <col min="5" max="5" width="12.00390625" style="0" customWidth="1"/>
    <col min="6" max="6" width="12.57421875" style="0" customWidth="1"/>
    <col min="7" max="7" width="13.00390625" style="0" customWidth="1"/>
    <col min="8" max="8" width="12.8515625" style="0" customWidth="1"/>
    <col min="9" max="9" width="15.00390625" style="0" customWidth="1"/>
    <col min="10" max="10" width="13.28125" style="0" customWidth="1"/>
    <col min="11" max="11" width="11.8515625" style="0" customWidth="1"/>
    <col min="14" max="14" width="11.7109375" style="0" customWidth="1"/>
    <col min="15" max="15" width="12.57421875" style="0" customWidth="1"/>
    <col min="16" max="16" width="69.8515625" style="0" customWidth="1"/>
    <col min="17" max="17" width="11.57421875" style="0" customWidth="1"/>
    <col min="18" max="18" width="13.57421875" style="0" customWidth="1"/>
    <col min="19" max="19" width="11.140625" style="0" customWidth="1"/>
    <col min="20" max="20" width="10.57421875" style="0" customWidth="1"/>
  </cols>
  <sheetData>
    <row r="2" spans="3:13" ht="26.25">
      <c r="C2" s="320" t="str">
        <f>Inputs!C2</f>
        <v>Resource Efficient Scotland - Hospital food waste disposal calculator </v>
      </c>
      <c r="D2" s="320"/>
      <c r="E2" s="320"/>
      <c r="F2" s="320"/>
      <c r="G2" s="320"/>
      <c r="H2" s="320"/>
      <c r="I2" s="320"/>
      <c r="J2" s="320"/>
      <c r="K2" s="320"/>
      <c r="L2" s="320"/>
      <c r="M2" s="320"/>
    </row>
    <row r="3" spans="3:4" ht="21">
      <c r="C3" s="321" t="s">
        <v>136</v>
      </c>
      <c r="D3" s="321"/>
    </row>
    <row r="4" ht="15">
      <c r="C4" s="146" t="s">
        <v>325</v>
      </c>
    </row>
    <row r="5" ht="15.75" thickBot="1"/>
    <row r="6" spans="4:11" ht="15.75" thickBot="1">
      <c r="D6" s="332" t="s">
        <v>59</v>
      </c>
      <c r="E6" s="333"/>
      <c r="F6" s="333"/>
      <c r="G6" s="333"/>
      <c r="H6" s="333"/>
      <c r="I6" s="333"/>
      <c r="J6" s="333"/>
      <c r="K6" s="334"/>
    </row>
    <row r="7" spans="4:24" ht="45">
      <c r="D7" s="335" t="s">
        <v>78</v>
      </c>
      <c r="E7" s="317" t="s">
        <v>63</v>
      </c>
      <c r="F7" s="316" t="s">
        <v>69</v>
      </c>
      <c r="G7" s="316" t="s">
        <v>70</v>
      </c>
      <c r="H7" s="316" t="s">
        <v>65</v>
      </c>
      <c r="I7" s="316" t="s">
        <v>67</v>
      </c>
      <c r="J7" s="319" t="s">
        <v>160</v>
      </c>
      <c r="K7" s="318" t="s">
        <v>61</v>
      </c>
      <c r="P7" s="292" t="s">
        <v>35</v>
      </c>
      <c r="Q7" s="288" t="s">
        <v>36</v>
      </c>
      <c r="R7" s="289"/>
      <c r="S7" s="289"/>
      <c r="T7" s="289"/>
      <c r="U7" s="289"/>
      <c r="V7" s="289"/>
      <c r="W7" s="338"/>
      <c r="X7" s="336" t="s">
        <v>45</v>
      </c>
    </row>
    <row r="8" spans="4:24" ht="15.75" thickBot="1">
      <c r="D8" s="335"/>
      <c r="E8" s="317"/>
      <c r="F8" s="316"/>
      <c r="G8" s="316"/>
      <c r="H8" s="316"/>
      <c r="I8" s="316"/>
      <c r="J8" s="319"/>
      <c r="K8" s="318"/>
      <c r="P8" s="293"/>
      <c r="Q8" s="3" t="s">
        <v>0</v>
      </c>
      <c r="R8" s="3" t="s">
        <v>1</v>
      </c>
      <c r="S8" s="3" t="s">
        <v>2</v>
      </c>
      <c r="T8" s="3" t="s">
        <v>3</v>
      </c>
      <c r="U8" s="3" t="s">
        <v>4</v>
      </c>
      <c r="V8" s="3" t="s">
        <v>323</v>
      </c>
      <c r="W8" s="3" t="s">
        <v>326</v>
      </c>
      <c r="X8" s="337"/>
    </row>
    <row r="9" spans="3:24" ht="15">
      <c r="C9" s="38" t="s">
        <v>60</v>
      </c>
      <c r="D9" s="50" t="s">
        <v>79</v>
      </c>
      <c r="E9" s="3" t="s">
        <v>64</v>
      </c>
      <c r="F9" s="3" t="s">
        <v>64</v>
      </c>
      <c r="G9" s="3" t="s">
        <v>71</v>
      </c>
      <c r="H9" s="3" t="s">
        <v>66</v>
      </c>
      <c r="I9" s="3" t="s">
        <v>68</v>
      </c>
      <c r="J9" s="31" t="s">
        <v>72</v>
      </c>
      <c r="K9" s="124" t="s">
        <v>62</v>
      </c>
      <c r="N9" t="s">
        <v>217</v>
      </c>
      <c r="P9" s="5" t="str">
        <f>Inputs!C33</f>
        <v>Number of units</v>
      </c>
      <c r="Q9" s="50" t="str">
        <f>_xlfn.IFERROR(VLOOKUP('Pre-treatment calculation'!J25,'Pre-treatment calculation'!$C$19:$N$23,2,FALSE),"ERROR")</f>
        <v>ERROR</v>
      </c>
      <c r="R9" s="50" t="str">
        <f>_xlfn.IFERROR(VLOOKUP('Pre-treatment calculation'!J47,'Pre-treatment calculation'!$C$41:$N$45,2,FALSE),"ERROR")</f>
        <v>ERROR</v>
      </c>
      <c r="S9" s="50" t="str">
        <f>_xlfn.IFERROR(VLOOKUP('Pre-treatment calculation'!J69,'Pre-treatment calculation'!$C$63:$N$67,2,FALSE),"ERROR")</f>
        <v>ERROR</v>
      </c>
      <c r="T9" s="50" t="str">
        <f>_xlfn.IFERROR(VLOOKUP('Pre-treatment calculation'!J91,'Pre-treatment calculation'!$C$85:$N$89,2,FALSE),"ERROR")</f>
        <v>ERROR</v>
      </c>
      <c r="U9" s="50">
        <f>_xlfn.IFERROR(VLOOKUP('Pre-treatment calculation'!J113,'Pre-treatment calculation'!$C$107:$N$111,2,FALSE),"ERROR")</f>
        <v>1</v>
      </c>
      <c r="V9" s="50">
        <f>_xlfn.IFERROR(VLOOKUP('Pre-treatment calculation'!J135,'Pre-treatment calculation'!$C$129:$N$133,2,FALSE),"ERROR")</f>
        <v>1</v>
      </c>
      <c r="W9" s="50" t="str">
        <f>_xlfn.IFERROR(VLOOKUP('Pre-treatment calculation'!J157,'Pre-treatment calculation'!$C$151:$N$155,2,FALSE),"ERROR")</f>
        <v>ERROR</v>
      </c>
      <c r="X9" s="43" t="str">
        <f>"-"</f>
        <v>-</v>
      </c>
    </row>
    <row r="10" spans="3:24" ht="15">
      <c r="C10" s="5">
        <v>1</v>
      </c>
      <c r="D10" s="50" t="e">
        <f>K10*Inputs!$F$34</f>
        <v>#VALUE!</v>
      </c>
      <c r="E10" s="39">
        <v>130000</v>
      </c>
      <c r="F10" s="39">
        <v>8500</v>
      </c>
      <c r="G10" s="39">
        <v>1800</v>
      </c>
      <c r="H10" s="39">
        <v>20</v>
      </c>
      <c r="I10" s="39">
        <v>1</v>
      </c>
      <c r="J10" s="40">
        <v>0</v>
      </c>
      <c r="K10" s="43">
        <v>1500</v>
      </c>
      <c r="N10" s="330" t="s">
        <v>265</v>
      </c>
      <c r="O10" s="342"/>
      <c r="P10" s="5" t="str">
        <f>Inputs!C38</f>
        <v>Equipment cost (£/unit)</v>
      </c>
      <c r="Q10" s="50" t="str">
        <f>_xlfn.IFERROR(VLOOKUP('Pre-treatment calculation'!J25,$C$10:$K$14,3,FALSE),"ERROR")</f>
        <v>ERROR</v>
      </c>
      <c r="R10" s="50" t="str">
        <f>_xlfn.IFERROR(VLOOKUP('Pre-treatment calculation'!J47,$C$20:$K$24,3,FALSE),"ERROR")</f>
        <v>ERROR</v>
      </c>
      <c r="S10" s="50" t="str">
        <f>_xlfn.IFERROR(VLOOKUP('Pre-treatment calculation'!J69,$C$30:$K$34,3,FALSE),"ERROR")</f>
        <v>ERROR</v>
      </c>
      <c r="T10" s="50" t="str">
        <f>_xlfn.IFERROR(VLOOKUP('Pre-treatment calculation'!J91,$C$40:$K$44,3,FALSE),"ERROR")</f>
        <v>ERROR</v>
      </c>
      <c r="U10" s="50">
        <f>_xlfn.IFERROR(VLOOKUP('Pre-treatment calculation'!J113,$C$50:$K$54,3,FALSE),"ERROR")</f>
        <v>10775</v>
      </c>
      <c r="V10" s="50">
        <f>_xlfn.IFERROR(VLOOKUP('Pre-treatment calculation'!J135,$C$60:$K$64,3,FALSE),"ERROR")</f>
        <v>8000</v>
      </c>
      <c r="W10" s="51" t="str">
        <f>_xlfn.IFERROR(VLOOKUP('Pre-treatment calculation'!J157,$C$70:$K$74,3,FALSE),"ERROR")</f>
        <v>ERROR</v>
      </c>
      <c r="X10" s="43" t="str">
        <f>X9</f>
        <v>-</v>
      </c>
    </row>
    <row r="11" spans="3:24" ht="15">
      <c r="C11" s="5">
        <v>2</v>
      </c>
      <c r="D11" s="50" t="e">
        <f>K11*Inputs!$F$34</f>
        <v>#VALUE!</v>
      </c>
      <c r="E11" s="39">
        <v>182000</v>
      </c>
      <c r="F11" s="39">
        <v>11000</v>
      </c>
      <c r="G11" s="39">
        <v>2520</v>
      </c>
      <c r="H11" s="39">
        <v>40</v>
      </c>
      <c r="I11" s="39">
        <v>1</v>
      </c>
      <c r="J11" s="40">
        <v>0</v>
      </c>
      <c r="K11" s="43">
        <v>3000</v>
      </c>
      <c r="P11" s="5" t="str">
        <f>Inputs!C39</f>
        <v>Equipment installation costs (£/unit)</v>
      </c>
      <c r="Q11" s="50" t="str">
        <f>_xlfn.IFERROR(VLOOKUP('Pre-treatment calculation'!J25,$C$10:$K$14,4,FALSE),"ERROR")</f>
        <v>ERROR</v>
      </c>
      <c r="R11" s="50" t="str">
        <f>_xlfn.IFERROR(VLOOKUP('Pre-treatment calculation'!J47,$C$20:$K$24,4,FALSE),"ERROR")</f>
        <v>ERROR</v>
      </c>
      <c r="S11" s="50" t="str">
        <f>_xlfn.IFERROR(VLOOKUP('Pre-treatment calculation'!J69,$C$30:$K$34,4,FALSE),"ERROR")</f>
        <v>ERROR</v>
      </c>
      <c r="T11" s="50" t="str">
        <f>_xlfn.IFERROR(VLOOKUP('Pre-treatment calculation'!J91,$C$40:$K$44,4,FALSE),"ERROR")</f>
        <v>ERROR</v>
      </c>
      <c r="U11" s="50">
        <f>_xlfn.IFERROR(VLOOKUP('Pre-treatment calculation'!J113,$C$50:$K$54,4,FALSE),"ERROR")</f>
        <v>0</v>
      </c>
      <c r="V11" s="50">
        <f>_xlfn.IFERROR(VLOOKUP('Pre-treatment calculation'!J135,$C$60:$K$64,4,FALSE),"ERROR")</f>
        <v>250</v>
      </c>
      <c r="W11" s="51" t="str">
        <f>_xlfn.IFERROR(VLOOKUP('Pre-treatment calculation'!J157,$C$70:$K$74,4,FALSE),"ERROR")</f>
        <v>ERROR</v>
      </c>
      <c r="X11" s="43" t="str">
        <f aca="true" t="shared" si="0" ref="X11:X16">X10</f>
        <v>-</v>
      </c>
    </row>
    <row r="12" spans="3:24" ht="15">
      <c r="C12" s="5">
        <v>3</v>
      </c>
      <c r="D12" s="50" t="e">
        <f>K12*Inputs!$F$34</f>
        <v>#VALUE!</v>
      </c>
      <c r="E12" s="39"/>
      <c r="F12" s="39"/>
      <c r="G12" s="39"/>
      <c r="H12" s="39"/>
      <c r="I12" s="39"/>
      <c r="J12" s="40"/>
      <c r="K12" s="43"/>
      <c r="P12" s="11" t="str">
        <f>Inputs!C40</f>
        <v>Maintenance cost (£/unit/a)</v>
      </c>
      <c r="Q12" s="50" t="str">
        <f>_xlfn.IFERROR(VLOOKUP('Pre-treatment calculation'!J25,$C$10:$K$14,5,FALSE),"ERROR")</f>
        <v>ERROR</v>
      </c>
      <c r="R12" s="50" t="str">
        <f>_xlfn.IFERROR(VLOOKUP('Pre-treatment calculation'!J47,$C$20:$K$24,5,FALSE),"ERROR")</f>
        <v>ERROR</v>
      </c>
      <c r="S12" s="50" t="str">
        <f>_xlfn.IFERROR(VLOOKUP('Pre-treatment calculation'!J69,$C$27:$J$34,5,FALSE),"ERROR")</f>
        <v>ERROR</v>
      </c>
      <c r="T12" s="50" t="str">
        <f>_xlfn.IFERROR(VLOOKUP('Pre-treatment calculation'!J91,$C$40:$K$44,5,FALSE),"ERROR")</f>
        <v>ERROR</v>
      </c>
      <c r="U12" s="50">
        <f>_xlfn.IFERROR(VLOOKUP('Pre-treatment calculation'!J113,$C$50:$K$54,5,FALSE),"ERROR")</f>
        <v>490</v>
      </c>
      <c r="V12" s="50">
        <f>_xlfn.IFERROR(VLOOKUP('Pre-treatment calculation'!J135,$C$60:$K$64,5,FALSE),"ERROR")</f>
        <v>250</v>
      </c>
      <c r="W12" s="51" t="str">
        <f>_xlfn.IFERROR(VLOOKUP('Pre-treatment calculation'!J157,$C$70:$K$74,5,FALSE),"ERROR")</f>
        <v>ERROR</v>
      </c>
      <c r="X12" s="43" t="str">
        <f t="shared" si="0"/>
        <v>-</v>
      </c>
    </row>
    <row r="13" spans="3:24" ht="15">
      <c r="C13" s="5">
        <v>4</v>
      </c>
      <c r="D13" s="50" t="e">
        <f>K13*Inputs!$F$34</f>
        <v>#VALUE!</v>
      </c>
      <c r="E13" s="39"/>
      <c r="F13" s="39"/>
      <c r="G13" s="39"/>
      <c r="H13" s="39"/>
      <c r="I13" s="39"/>
      <c r="J13" s="40"/>
      <c r="K13" s="43"/>
      <c r="P13" s="5" t="str">
        <f>Inputs!C34</f>
        <v>Processing time (hours running/unit/working day)</v>
      </c>
      <c r="Q13" s="171">
        <v>3</v>
      </c>
      <c r="R13" s="171">
        <v>3</v>
      </c>
      <c r="S13" s="171">
        <v>3</v>
      </c>
      <c r="T13" s="171">
        <v>3</v>
      </c>
      <c r="U13" s="171">
        <v>15</v>
      </c>
      <c r="V13" s="171">
        <v>24</v>
      </c>
      <c r="W13" s="187">
        <v>3</v>
      </c>
      <c r="X13" s="43" t="str">
        <f t="shared" si="0"/>
        <v>-</v>
      </c>
    </row>
    <row r="14" spans="3:24" ht="15.75" thickBot="1">
      <c r="C14" s="6">
        <v>5</v>
      </c>
      <c r="D14" s="53" t="e">
        <f>K14*Inputs!$F$34</f>
        <v>#VALUE!</v>
      </c>
      <c r="E14" s="41"/>
      <c r="F14" s="41"/>
      <c r="G14" s="41"/>
      <c r="H14" s="41"/>
      <c r="I14" s="41"/>
      <c r="J14" s="42"/>
      <c r="K14" s="46"/>
      <c r="P14" s="5" t="str">
        <f>Inputs!C35</f>
        <v>Operating time (man hours/unit/working day)</v>
      </c>
      <c r="Q14" s="171">
        <v>3</v>
      </c>
      <c r="R14" s="171">
        <v>3</v>
      </c>
      <c r="S14" s="171">
        <v>3</v>
      </c>
      <c r="T14" s="171">
        <v>3</v>
      </c>
      <c r="U14" s="39">
        <v>3</v>
      </c>
      <c r="V14" s="39">
        <v>3</v>
      </c>
      <c r="W14" s="171">
        <v>3</v>
      </c>
      <c r="X14" s="43" t="str">
        <f t="shared" si="0"/>
        <v>-</v>
      </c>
    </row>
    <row r="15" spans="16:24" ht="15.75" thickBot="1">
      <c r="P15" s="5" t="str">
        <f>Inputs!C36</f>
        <v>Number of catering operatives to operate pre-treatment unit(s)</v>
      </c>
      <c r="Q15" s="171">
        <v>1</v>
      </c>
      <c r="R15" s="171">
        <v>1</v>
      </c>
      <c r="S15" s="171">
        <v>1</v>
      </c>
      <c r="T15" s="171">
        <v>1</v>
      </c>
      <c r="U15" s="171">
        <v>1</v>
      </c>
      <c r="V15" s="171">
        <v>1</v>
      </c>
      <c r="W15" s="187">
        <v>1</v>
      </c>
      <c r="X15" s="43" t="str">
        <f t="shared" si="0"/>
        <v>-</v>
      </c>
    </row>
    <row r="16" spans="4:24" ht="15">
      <c r="D16" s="332" t="s">
        <v>73</v>
      </c>
      <c r="E16" s="333"/>
      <c r="F16" s="333"/>
      <c r="G16" s="333"/>
      <c r="H16" s="333"/>
      <c r="I16" s="333"/>
      <c r="J16" s="333"/>
      <c r="K16" s="334"/>
      <c r="P16" s="5" t="str">
        <f>Inputs!C41</f>
        <v>Electrical power (kW/unit)</v>
      </c>
      <c r="Q16" s="188" t="str">
        <f>_xlfn.IFERROR(VLOOKUP('Pre-treatment calculation'!J25,$C$10:$K$14,6,FALSE),"ERROR")</f>
        <v>ERROR</v>
      </c>
      <c r="R16" s="188" t="str">
        <f>_xlfn.IFERROR(VLOOKUP('Pre-treatment calculation'!J47,$C$20:$K$24,6,FALSE),"ERROR")</f>
        <v>ERROR</v>
      </c>
      <c r="S16" s="188" t="str">
        <f>_xlfn.IFERROR(VLOOKUP('Pre-treatment calculation'!J69,$C$30:$K$34,6,FALSE),"ERROR")</f>
        <v>ERROR</v>
      </c>
      <c r="T16" s="188" t="str">
        <f>_xlfn.IFERROR(VLOOKUP('Pre-treatment calculation'!J91,$C$40:$K$44,6,FALSE),"ERROR")</f>
        <v>ERROR</v>
      </c>
      <c r="U16" s="50">
        <f>_xlfn.IFERROR(VLOOKUP('Pre-treatment calculation'!J113,$C$50:$K$54,6,FALSE),"ERROR")</f>
        <v>4</v>
      </c>
      <c r="V16" s="50">
        <f>_xlfn.IFERROR(VLOOKUP('Pre-treatment calculation'!J135,$C$60:$K$64,6,FALSE),"ERROR")</f>
        <v>1.4</v>
      </c>
      <c r="W16" s="189" t="str">
        <f>_xlfn.IFERROR(VLOOKUP('Pre-treatment calculation'!J157,$C$70:$K$74,6,FALSE),"ERROR")</f>
        <v>ERROR</v>
      </c>
      <c r="X16" s="43" t="str">
        <f t="shared" si="0"/>
        <v>-</v>
      </c>
    </row>
    <row r="17" spans="4:24" ht="15" customHeight="1">
      <c r="D17" s="335" t="s">
        <v>78</v>
      </c>
      <c r="E17" s="317" t="s">
        <v>63</v>
      </c>
      <c r="F17" s="316" t="s">
        <v>69</v>
      </c>
      <c r="G17" s="316" t="s">
        <v>70</v>
      </c>
      <c r="H17" s="316" t="s">
        <v>65</v>
      </c>
      <c r="I17" s="316" t="s">
        <v>67</v>
      </c>
      <c r="J17" s="319" t="s">
        <v>160</v>
      </c>
      <c r="K17" s="318" t="s">
        <v>61</v>
      </c>
      <c r="P17" s="5" t="str">
        <f>Inputs!C42</f>
        <v>Water use (l/unit/h)</v>
      </c>
      <c r="Q17" s="188" t="str">
        <f>_xlfn.IFERROR(VLOOKUP('Pre-treatment calculation'!J25,$C$10:$K$14,7,FALSE),"ERROR")</f>
        <v>ERROR</v>
      </c>
      <c r="R17" s="188" t="str">
        <f>_xlfn.IFERROR(VLOOKUP('Pre-treatment calculation'!J47,$C$20:$K$24,7,FALSE),"ERROR")</f>
        <v>ERROR</v>
      </c>
      <c r="S17" s="188" t="str">
        <f>_xlfn.IFERROR(VLOOKUP('Pre-treatment calculation'!J69,$C$30:$K$34,7,FALSE),"ERROR")</f>
        <v>ERROR</v>
      </c>
      <c r="T17" s="188" t="str">
        <f>_xlfn.IFERROR(VLOOKUP('Pre-treatment calculation'!J91,$C$40:$K$44,7,FALSE),"ERROR")</f>
        <v>ERROR</v>
      </c>
      <c r="U17" s="50">
        <f>_xlfn.IFERROR(VLOOKUP('Pre-treatment calculation'!J113,$C$50:$K$54,7,FALSE),"ERROR")</f>
        <v>0</v>
      </c>
      <c r="V17" s="50">
        <f>_xlfn.IFERROR(VLOOKUP('Pre-treatment calculation'!J135,$C$60:$K$64,7,FALSE),"ERROR")</f>
        <v>0</v>
      </c>
      <c r="W17" s="189" t="str">
        <f>_xlfn.IFERROR(VLOOKUP('Pre-treatment calculation'!J157,$C$70:$J$74,7,FALSE),"ERROR")</f>
        <v>ERROR</v>
      </c>
      <c r="X17" s="43" t="str">
        <f aca="true" t="shared" si="1" ref="X17:X25">X16</f>
        <v>-</v>
      </c>
    </row>
    <row r="18" spans="4:24" ht="15.75" thickBot="1">
      <c r="D18" s="335"/>
      <c r="E18" s="317"/>
      <c r="F18" s="316"/>
      <c r="G18" s="316"/>
      <c r="H18" s="316"/>
      <c r="I18" s="316"/>
      <c r="J18" s="319"/>
      <c r="K18" s="318"/>
      <c r="P18" s="11" t="str">
        <f>Inputs!C43</f>
        <v>% food waste to sewer or atmosphere (% by mass)</v>
      </c>
      <c r="Q18" s="190" t="str">
        <f>_xlfn.IFERROR(VLOOKUP('Pre-treatment calculation'!J25,$C$10:$K$14,8,FALSE),"ERROR")</f>
        <v>ERROR</v>
      </c>
      <c r="R18" s="190" t="str">
        <f>_xlfn.IFERROR(VLOOKUP('Pre-treatment calculation'!J47,$C$20:$K$24,8,FALSE),"ERROR")</f>
        <v>ERROR</v>
      </c>
      <c r="S18" s="190" t="str">
        <f>_xlfn.IFERROR(VLOOKUP('Pre-treatment calculation'!J69,$C$30:$K$34,8,FALSE),"ERROR")</f>
        <v>ERROR</v>
      </c>
      <c r="T18" s="190" t="str">
        <f>_xlfn.IFERROR(VLOOKUP('Pre-treatment calculation'!J91,$C$40:$K$44,8,FALSE),"ERROR")</f>
        <v>ERROR</v>
      </c>
      <c r="U18" s="50">
        <f>_xlfn.IFERROR(VLOOKUP('Pre-treatment calculation'!J113,$C$50:$K$54,8,FALSE),"ERROR")</f>
        <v>87.5</v>
      </c>
      <c r="V18" s="50">
        <f>_xlfn.IFERROR(VLOOKUP('Pre-treatment calculation'!J135,$C$60:$K$64,8,FALSE),"ERROR")</f>
        <v>90</v>
      </c>
      <c r="W18" s="191" t="str">
        <f>_xlfn.IFERROR(VLOOKUP('Pre-treatment calculation'!J157,$C$70:$K$74,8,FALSE),"ERROR")</f>
        <v>ERROR</v>
      </c>
      <c r="X18" s="43" t="str">
        <f t="shared" si="1"/>
        <v>-</v>
      </c>
    </row>
    <row r="19" spans="3:24" ht="15">
      <c r="C19" s="38" t="s">
        <v>60</v>
      </c>
      <c r="D19" s="50" t="s">
        <v>79</v>
      </c>
      <c r="E19" s="3" t="s">
        <v>64</v>
      </c>
      <c r="F19" s="3" t="s">
        <v>64</v>
      </c>
      <c r="G19" s="3" t="s">
        <v>71</v>
      </c>
      <c r="H19" s="3" t="s">
        <v>66</v>
      </c>
      <c r="I19" s="3" t="s">
        <v>68</v>
      </c>
      <c r="J19" s="31" t="s">
        <v>72</v>
      </c>
      <c r="K19" s="124" t="s">
        <v>62</v>
      </c>
      <c r="P19" s="5" t="s">
        <v>83</v>
      </c>
      <c r="Q19" s="190" t="str">
        <f>_xlfn.IFERROR(VLOOKUP('Pre-treatment calculation'!J25,$C$10:$K$14,9,FALSE),"ERROR")</f>
        <v>ERROR</v>
      </c>
      <c r="R19" s="190" t="str">
        <f>_xlfn.IFERROR(VLOOKUP('Pre-treatment calculation'!J47,$C$20:$K$24,9,FALSE),"ERROR")</f>
        <v>ERROR</v>
      </c>
      <c r="S19" s="190" t="str">
        <f>_xlfn.IFERROR(VLOOKUP('Pre-treatment calculation'!J69,$C$30:$K$34,9,FALSE),"ERROR")</f>
        <v>ERROR</v>
      </c>
      <c r="T19" s="190" t="str">
        <f>_xlfn.IFERROR(VLOOKUP('Pre-treatment calculation'!J91,$C$40:$K$44,9,FALSE),"ERROR")</f>
        <v>ERROR</v>
      </c>
      <c r="U19" s="50" t="str">
        <f>_xlfn.IFERROR(VLOOKUP('Pre-treatment calculation'!J113,$C$50:$K$54,9,FALSE),"ERROR")</f>
        <v>ERROR</v>
      </c>
      <c r="V19" s="50" t="str">
        <f>_xlfn.IFERROR(VLOOKUP('Pre-treatment calculation'!J135,$C$60:$K$64,9,FALSE),"ERROR")</f>
        <v>ERROR</v>
      </c>
      <c r="W19" s="190" t="str">
        <f>_xlfn.IFERROR(VLOOKUP('Pre-treatment calculation'!J157,$C$70:$K$74,9,FALSE),"ERROR")</f>
        <v>ERROR</v>
      </c>
      <c r="X19" s="54" t="str">
        <f t="shared" si="1"/>
        <v>-</v>
      </c>
    </row>
    <row r="20" spans="3:24" ht="15">
      <c r="C20" s="5">
        <v>1</v>
      </c>
      <c r="D20" s="50" t="e">
        <f>K20*Inputs!$F$34</f>
        <v>#VALUE!</v>
      </c>
      <c r="E20" s="39">
        <v>50000</v>
      </c>
      <c r="F20" s="39">
        <v>0</v>
      </c>
      <c r="G20" s="39">
        <v>200</v>
      </c>
      <c r="H20" s="39">
        <v>3.7</v>
      </c>
      <c r="I20" s="39">
        <v>78</v>
      </c>
      <c r="J20" s="40">
        <v>0</v>
      </c>
      <c r="K20" s="43">
        <v>1620</v>
      </c>
      <c r="P20" s="5" t="str">
        <f>Inputs!C44</f>
        <v>Bulk density of waste for collection (kg/m3)</v>
      </c>
      <c r="Q20" s="171">
        <v>900</v>
      </c>
      <c r="R20" s="171">
        <v>960</v>
      </c>
      <c r="S20" s="171">
        <f>AVERAGE(800,1000)</f>
        <v>900</v>
      </c>
      <c r="T20" s="171">
        <v>900</v>
      </c>
      <c r="U20" s="39">
        <v>800</v>
      </c>
      <c r="V20" s="39">
        <v>800</v>
      </c>
      <c r="W20" s="171">
        <v>600</v>
      </c>
      <c r="X20" s="43" t="str">
        <f t="shared" si="1"/>
        <v>-</v>
      </c>
    </row>
    <row r="21" spans="3:24" ht="15">
      <c r="C21" s="5">
        <v>2</v>
      </c>
      <c r="D21" s="50" t="e">
        <f>K21*Inputs!$F$34</f>
        <v>#VALUE!</v>
      </c>
      <c r="E21" s="39">
        <v>70000</v>
      </c>
      <c r="F21" s="39">
        <v>0</v>
      </c>
      <c r="G21" s="39">
        <v>200</v>
      </c>
      <c r="H21" s="39">
        <v>7.4</v>
      </c>
      <c r="I21" s="39">
        <v>156</v>
      </c>
      <c r="J21" s="40">
        <v>0</v>
      </c>
      <c r="K21" s="43">
        <v>3240</v>
      </c>
      <c r="P21" s="5" t="str">
        <f>Inputs!C45</f>
        <v>Bin/tank size (litres)</v>
      </c>
      <c r="Q21" s="171">
        <v>7000</v>
      </c>
      <c r="R21" s="171">
        <v>5000</v>
      </c>
      <c r="S21" s="171">
        <v>120</v>
      </c>
      <c r="T21" s="171">
        <v>120</v>
      </c>
      <c r="U21" s="171">
        <v>120</v>
      </c>
      <c r="V21" s="171">
        <v>120</v>
      </c>
      <c r="W21" s="171">
        <v>120</v>
      </c>
      <c r="X21" s="43" t="str">
        <f t="shared" si="1"/>
        <v>-</v>
      </c>
    </row>
    <row r="22" spans="3:24" ht="15">
      <c r="C22" s="5">
        <v>3</v>
      </c>
      <c r="D22" s="50" t="e">
        <f>K22*Inputs!$F$34</f>
        <v>#VALUE!</v>
      </c>
      <c r="E22" s="39"/>
      <c r="F22" s="39"/>
      <c r="G22" s="39"/>
      <c r="H22" s="39"/>
      <c r="I22" s="39"/>
      <c r="J22" s="40"/>
      <c r="K22" s="43"/>
      <c r="P22" s="5" t="str">
        <f>Inputs!C46</f>
        <v>Bin/tank emptied at X % of full</v>
      </c>
      <c r="Q22" s="171">
        <v>70</v>
      </c>
      <c r="R22" s="171">
        <v>70</v>
      </c>
      <c r="S22" s="171">
        <v>100</v>
      </c>
      <c r="T22" s="171">
        <v>100</v>
      </c>
      <c r="U22" s="171">
        <v>100</v>
      </c>
      <c r="V22" s="171">
        <v>100</v>
      </c>
      <c r="W22" s="171">
        <v>100</v>
      </c>
      <c r="X22" s="168" t="str">
        <f t="shared" si="1"/>
        <v>-</v>
      </c>
    </row>
    <row r="23" spans="3:24" ht="15">
      <c r="C23" s="5">
        <v>4</v>
      </c>
      <c r="D23" s="50" t="e">
        <f>K23*Inputs!$F$34</f>
        <v>#VALUE!</v>
      </c>
      <c r="E23" s="39"/>
      <c r="F23" s="39"/>
      <c r="G23" s="39"/>
      <c r="H23" s="39"/>
      <c r="I23" s="39"/>
      <c r="J23" s="40"/>
      <c r="K23" s="43"/>
      <c r="P23" s="5" t="str">
        <f>Inputs!C52</f>
        <v>Collection and disposal cost (£/bin lift or £/tank empty)</v>
      </c>
      <c r="Q23" s="144">
        <v>960</v>
      </c>
      <c r="R23" s="144">
        <v>960</v>
      </c>
      <c r="S23" s="144">
        <f>AVERAGE(9,12)</f>
        <v>10.5</v>
      </c>
      <c r="T23" s="144">
        <f>AVERAGE(9,12)</f>
        <v>10.5</v>
      </c>
      <c r="U23" s="144">
        <f>AVERAGE(9,12)</f>
        <v>10.5</v>
      </c>
      <c r="V23" s="144">
        <f>AVERAGE(9,12)</f>
        <v>10.5</v>
      </c>
      <c r="W23" s="144">
        <f>AVERAGE(9,12)</f>
        <v>10.5</v>
      </c>
      <c r="X23" s="54" t="str">
        <f t="shared" si="1"/>
        <v>-</v>
      </c>
    </row>
    <row r="24" spans="3:24" ht="15.75" thickBot="1">
      <c r="C24" s="6">
        <v>5</v>
      </c>
      <c r="D24" s="53" t="e">
        <f>K24*Inputs!$F$34</f>
        <v>#VALUE!</v>
      </c>
      <c r="E24" s="41"/>
      <c r="F24" s="41"/>
      <c r="G24" s="41"/>
      <c r="H24" s="41"/>
      <c r="I24" s="41"/>
      <c r="J24" s="42"/>
      <c r="K24" s="46"/>
      <c r="P24" s="5" t="str">
        <f>Inputs!C53</f>
        <v>Labour requirement - portering operative (man hours/working day)</v>
      </c>
      <c r="Q24" s="144">
        <v>0</v>
      </c>
      <c r="R24" s="144">
        <v>0</v>
      </c>
      <c r="S24" s="144">
        <f>(1*0.5)+(2*0.5)+(3*0.5)</f>
        <v>3</v>
      </c>
      <c r="T24" s="144">
        <f>(1*0.5)+(2*0.5)+(3*0.5)</f>
        <v>3</v>
      </c>
      <c r="U24" s="144">
        <f>(1*0.5)+(2*0.5)+(3*0.5)</f>
        <v>3</v>
      </c>
      <c r="V24" s="144">
        <f>(1*0.5)+(2*0.5)+(3*0.5)</f>
        <v>3</v>
      </c>
      <c r="W24" s="144">
        <f>(1*0.5)+(2*0.5)+(3*0.5)</f>
        <v>3</v>
      </c>
      <c r="X24" s="54" t="str">
        <f t="shared" si="1"/>
        <v>-</v>
      </c>
    </row>
    <row r="25" spans="16:24" ht="15.75" thickBot="1">
      <c r="P25" s="6" t="str">
        <f>Inputs!C37</f>
        <v>Labour requirement - catering management (man hours/working day)</v>
      </c>
      <c r="Q25" s="192">
        <f>2/(8*5)*8</f>
        <v>0.4</v>
      </c>
      <c r="R25" s="192">
        <f>2/(8*5)*8</f>
        <v>0.4</v>
      </c>
      <c r="S25" s="192">
        <f>0.5+(2/(8*5)*8)</f>
        <v>0.9</v>
      </c>
      <c r="T25" s="192">
        <f>0.5+(2/(8*5)*8)</f>
        <v>0.9</v>
      </c>
      <c r="U25" s="192">
        <f>0.5+(2/(8*5)*8)</f>
        <v>0.9</v>
      </c>
      <c r="V25" s="192">
        <f>0.5+(2/(8*5)*8)</f>
        <v>0.9</v>
      </c>
      <c r="W25" s="192">
        <f>0.5+(2/(8*5)*8)</f>
        <v>0.9</v>
      </c>
      <c r="X25" s="46" t="str">
        <f t="shared" si="1"/>
        <v>-</v>
      </c>
    </row>
    <row r="26" spans="4:11" ht="15.75" thickBot="1">
      <c r="D26" s="332" t="s">
        <v>74</v>
      </c>
      <c r="E26" s="333"/>
      <c r="F26" s="333"/>
      <c r="G26" s="333"/>
      <c r="H26" s="333"/>
      <c r="I26" s="333"/>
      <c r="J26" s="333"/>
      <c r="K26" s="334"/>
    </row>
    <row r="27" spans="4:21" ht="15" customHeight="1">
      <c r="D27" s="335" t="s">
        <v>78</v>
      </c>
      <c r="E27" s="317" t="s">
        <v>63</v>
      </c>
      <c r="F27" s="316" t="s">
        <v>69</v>
      </c>
      <c r="G27" s="316" t="s">
        <v>70</v>
      </c>
      <c r="H27" s="316" t="s">
        <v>65</v>
      </c>
      <c r="I27" s="316" t="s">
        <v>67</v>
      </c>
      <c r="J27" s="319" t="s">
        <v>160</v>
      </c>
      <c r="K27" s="318" t="s">
        <v>61</v>
      </c>
      <c r="P27" s="292" t="s">
        <v>37</v>
      </c>
      <c r="Q27" s="324" t="s">
        <v>38</v>
      </c>
      <c r="R27" s="325"/>
      <c r="S27" s="325"/>
      <c r="T27" s="325"/>
      <c r="U27" s="336" t="s">
        <v>45</v>
      </c>
    </row>
    <row r="28" spans="4:21" ht="15.75" thickBot="1">
      <c r="D28" s="335"/>
      <c r="E28" s="317"/>
      <c r="F28" s="316"/>
      <c r="G28" s="316"/>
      <c r="H28" s="316"/>
      <c r="I28" s="316"/>
      <c r="J28" s="319"/>
      <c r="K28" s="318"/>
      <c r="N28" t="s">
        <v>217</v>
      </c>
      <c r="P28" s="293"/>
      <c r="Q28" s="3" t="s">
        <v>23</v>
      </c>
      <c r="R28" s="3" t="s">
        <v>24</v>
      </c>
      <c r="S28" s="3" t="s">
        <v>39</v>
      </c>
      <c r="T28" s="31" t="s">
        <v>40</v>
      </c>
      <c r="U28" s="337"/>
    </row>
    <row r="29" spans="3:21" ht="15">
      <c r="C29" s="38" t="s">
        <v>60</v>
      </c>
      <c r="D29" s="50" t="s">
        <v>79</v>
      </c>
      <c r="E29" s="3" t="s">
        <v>64</v>
      </c>
      <c r="F29" s="3" t="s">
        <v>64</v>
      </c>
      <c r="G29" s="3" t="s">
        <v>71</v>
      </c>
      <c r="H29" s="3" t="s">
        <v>66</v>
      </c>
      <c r="I29" s="3" t="s">
        <v>68</v>
      </c>
      <c r="J29" s="31" t="s">
        <v>72</v>
      </c>
      <c r="K29" s="124" t="s">
        <v>62</v>
      </c>
      <c r="N29" s="330" t="s">
        <v>266</v>
      </c>
      <c r="O29" s="331"/>
      <c r="P29" s="5" t="str">
        <f>Inputs!C56</f>
        <v>Number of on-site units</v>
      </c>
      <c r="Q29" s="39" t="s">
        <v>92</v>
      </c>
      <c r="R29" s="39" t="s">
        <v>92</v>
      </c>
      <c r="S29" s="50" t="str">
        <f>_xlfn.IFERROR(VLOOKUP('Treatment calculation'!J25,'Treatment calculation'!$C$19:$N$23,2,FALSE),"ERROR")</f>
        <v>ERROR</v>
      </c>
      <c r="T29" s="50" t="str">
        <f>_xlfn.IFERROR(VLOOKUP('Treatment calculation'!J47,'Treatment calculation'!$C$41:$N$45,2,FALSE),"ERROR")</f>
        <v>ERROR</v>
      </c>
      <c r="U29" s="43" t="str">
        <f>"-"</f>
        <v>-</v>
      </c>
    </row>
    <row r="30" spans="3:21" ht="15">
      <c r="C30" s="5">
        <v>1</v>
      </c>
      <c r="D30" s="50" t="e">
        <f>K30*Inputs!$F$34</f>
        <v>#VALUE!</v>
      </c>
      <c r="E30" s="39">
        <v>70000</v>
      </c>
      <c r="F30" s="39">
        <v>6000</v>
      </c>
      <c r="G30" s="39">
        <v>960</v>
      </c>
      <c r="H30" s="39">
        <v>20</v>
      </c>
      <c r="I30" s="39">
        <v>156</v>
      </c>
      <c r="J30" s="40">
        <v>50</v>
      </c>
      <c r="K30" s="43">
        <v>750</v>
      </c>
      <c r="P30" s="5" t="str">
        <f>Inputs!C57</f>
        <v>On-site equipment cost (£/unit)</v>
      </c>
      <c r="Q30" s="39" t="s">
        <v>92</v>
      </c>
      <c r="R30" s="39" t="s">
        <v>92</v>
      </c>
      <c r="S30" s="50" t="str">
        <f>_xlfn.IFERROR(VLOOKUP('Treatment calculation'!J25,$C$84:$K$88,3,FALSE),"ERROR")</f>
        <v>ERROR</v>
      </c>
      <c r="T30" s="51" t="str">
        <f>_xlfn.IFERROR(VLOOKUP('Treatment calculation'!J47,$C$94:$K$98,3,FALSE),"ERROR")</f>
        <v>ERROR</v>
      </c>
      <c r="U30" s="43" t="str">
        <f aca="true" t="shared" si="2" ref="U30:U38">U29</f>
        <v>-</v>
      </c>
    </row>
    <row r="31" spans="3:21" ht="15">
      <c r="C31" s="5">
        <v>2</v>
      </c>
      <c r="D31" s="50" t="e">
        <f>K31*Inputs!$F$34</f>
        <v>#VALUE!</v>
      </c>
      <c r="E31" s="39">
        <v>117600</v>
      </c>
      <c r="F31" s="39">
        <v>61500</v>
      </c>
      <c r="G31" s="39">
        <v>4800</v>
      </c>
      <c r="H31" s="39">
        <v>100</v>
      </c>
      <c r="I31" s="39">
        <f>0.5*K32/(AVERAGE(1,1.5))</f>
        <v>0</v>
      </c>
      <c r="J31" s="40">
        <f>AVERAGE(60,80)</f>
        <v>70</v>
      </c>
      <c r="K31" s="43">
        <f>700*3</f>
        <v>2100</v>
      </c>
      <c r="P31" s="5" t="str">
        <f>Inputs!C58</f>
        <v>On-site equipment installation cost (£/unit)</v>
      </c>
      <c r="Q31" s="39" t="s">
        <v>92</v>
      </c>
      <c r="R31" s="39" t="s">
        <v>92</v>
      </c>
      <c r="S31" s="50" t="str">
        <f>_xlfn.IFERROR(VLOOKUP('Treatment calculation'!J25,$C$84:$K$88,4,FALSE),"ERROR")</f>
        <v>ERROR</v>
      </c>
      <c r="T31" s="51" t="str">
        <f>_xlfn.IFERROR(VLOOKUP('Treatment calculation'!J47,$C$94:$K$98,4,FALSE),"ERROR")</f>
        <v>ERROR</v>
      </c>
      <c r="U31" s="43" t="str">
        <f t="shared" si="2"/>
        <v>-</v>
      </c>
    </row>
    <row r="32" spans="3:21" ht="15">
      <c r="C32" s="5">
        <v>3</v>
      </c>
      <c r="D32" s="50" t="e">
        <f>K32*Inputs!$F$34</f>
        <v>#VALUE!</v>
      </c>
      <c r="E32" s="39"/>
      <c r="F32" s="39"/>
      <c r="G32" s="39"/>
      <c r="H32" s="39"/>
      <c r="I32" s="39"/>
      <c r="J32" s="40"/>
      <c r="K32" s="43"/>
      <c r="P32" s="5" t="str">
        <f>Inputs!C59</f>
        <v>On-site maintenance (£/unit/a)</v>
      </c>
      <c r="Q32" s="39" t="s">
        <v>92</v>
      </c>
      <c r="R32" s="39" t="s">
        <v>92</v>
      </c>
      <c r="S32" s="50" t="str">
        <f>_xlfn.IFERROR(VLOOKUP('Treatment calculation'!J25,$C$84:$K$88,5,FALSE),"ERROR")</f>
        <v>ERROR</v>
      </c>
      <c r="T32" s="51" t="str">
        <f>_xlfn.IFERROR(VLOOKUP('Treatment calculation'!J47,$C$94:$K$98,5,FALSE),"ERROR")</f>
        <v>ERROR</v>
      </c>
      <c r="U32" s="43" t="str">
        <f t="shared" si="2"/>
        <v>-</v>
      </c>
    </row>
    <row r="33" spans="3:21" ht="15">
      <c r="C33" s="5">
        <v>4</v>
      </c>
      <c r="D33" s="50" t="e">
        <f>K33*Inputs!$F$34</f>
        <v>#VALUE!</v>
      </c>
      <c r="E33" s="39"/>
      <c r="F33" s="39"/>
      <c r="G33" s="39"/>
      <c r="H33" s="39"/>
      <c r="I33" s="39"/>
      <c r="J33" s="40"/>
      <c r="K33" s="43"/>
      <c r="P33" s="5" t="str">
        <f>Inputs!C60</f>
        <v>On-site consumables (£/unit/a)</v>
      </c>
      <c r="Q33" s="39" t="s">
        <v>92</v>
      </c>
      <c r="R33" s="39" t="s">
        <v>92</v>
      </c>
      <c r="S33" s="50" t="str">
        <f>_xlfn.IFERROR(VLOOKUP('Treatment calculation'!J25,$C$84:$K$88,6,FALSE),"ERROR")</f>
        <v>ERROR</v>
      </c>
      <c r="T33" s="51" t="str">
        <f>_xlfn.IFERROR(VLOOKUP('Treatment calculation'!J47,$C$94:$K$98,6,FALSE),"ERROR")</f>
        <v>ERROR</v>
      </c>
      <c r="U33" s="43" t="str">
        <f t="shared" si="2"/>
        <v>-</v>
      </c>
    </row>
    <row r="34" spans="3:21" ht="15.75" thickBot="1">
      <c r="C34" s="6">
        <v>5</v>
      </c>
      <c r="D34" s="53" t="e">
        <f>K34*Inputs!$F$34</f>
        <v>#VALUE!</v>
      </c>
      <c r="E34" s="41"/>
      <c r="F34" s="41"/>
      <c r="G34" s="41"/>
      <c r="H34" s="41"/>
      <c r="I34" s="41"/>
      <c r="J34" s="42"/>
      <c r="K34" s="46"/>
      <c r="P34" s="5" t="str">
        <f>Inputs!C61</f>
        <v>On-site electricity use (kW/unit)</v>
      </c>
      <c r="Q34" s="39" t="s">
        <v>92</v>
      </c>
      <c r="R34" s="39" t="s">
        <v>92</v>
      </c>
      <c r="S34" s="50" t="str">
        <f>_xlfn.IFERROR(VLOOKUP('Treatment calculation'!J25,$C$84:$K$88,7,FALSE),"ERROR")</f>
        <v>ERROR</v>
      </c>
      <c r="T34" s="155" t="str">
        <f>_xlfn.IFERROR(VLOOKUP('Treatment calculation'!J47,$C$94:$K$98,7,FALSE),"ERROR")</f>
        <v>ERROR</v>
      </c>
      <c r="U34" s="43" t="str">
        <f t="shared" si="2"/>
        <v>-</v>
      </c>
    </row>
    <row r="35" spans="16:21" ht="15.75" thickBot="1">
      <c r="P35" s="5" t="str">
        <f>Inputs!C62</f>
        <v>On-site water use (l/unit/t)</v>
      </c>
      <c r="Q35" s="66" t="s">
        <v>92</v>
      </c>
      <c r="R35" s="66" t="s">
        <v>92</v>
      </c>
      <c r="S35" s="165" t="str">
        <f>_xlfn.IFERROR(VLOOKUP('Treatment calculation'!J25,$C$84:$K$88,8,FALSE),"ERROR")</f>
        <v>ERROR</v>
      </c>
      <c r="T35" s="165" t="str">
        <f>_xlfn.IFERROR(VLOOKUP('Treatment calculation'!J47,$C$94:$K$98,8,FALSE),"ERROR")</f>
        <v>ERROR</v>
      </c>
      <c r="U35" s="161" t="str">
        <f t="shared" si="2"/>
        <v>-</v>
      </c>
    </row>
    <row r="36" spans="4:21" ht="15">
      <c r="D36" s="332" t="s">
        <v>75</v>
      </c>
      <c r="E36" s="333"/>
      <c r="F36" s="333"/>
      <c r="G36" s="333"/>
      <c r="H36" s="333"/>
      <c r="I36" s="333"/>
      <c r="J36" s="333"/>
      <c r="K36" s="334"/>
      <c r="P36" s="5" t="str">
        <f>Inputs!C63</f>
        <v>Income/expenditure from sale of compost/digestate (£/t)</v>
      </c>
      <c r="Q36" s="39" t="s">
        <v>92</v>
      </c>
      <c r="R36" s="39" t="s">
        <v>92</v>
      </c>
      <c r="S36" s="39">
        <v>0</v>
      </c>
      <c r="T36" s="40">
        <v>0</v>
      </c>
      <c r="U36" s="43" t="str">
        <f t="shared" si="2"/>
        <v>-</v>
      </c>
    </row>
    <row r="37" spans="4:21" ht="15" customHeight="1">
      <c r="D37" s="335" t="s">
        <v>78</v>
      </c>
      <c r="E37" s="317" t="s">
        <v>63</v>
      </c>
      <c r="F37" s="316" t="s">
        <v>69</v>
      </c>
      <c r="G37" s="316" t="s">
        <v>70</v>
      </c>
      <c r="H37" s="316" t="s">
        <v>65</v>
      </c>
      <c r="I37" s="316" t="s">
        <v>67</v>
      </c>
      <c r="J37" s="319" t="s">
        <v>160</v>
      </c>
      <c r="K37" s="318" t="s">
        <v>61</v>
      </c>
      <c r="P37" s="5" t="str">
        <f>Inputs!C64</f>
        <v>Labour requirement - estates operative (man hours/ working day)</v>
      </c>
      <c r="Q37" s="55" t="s">
        <v>92</v>
      </c>
      <c r="R37" s="55" t="s">
        <v>92</v>
      </c>
      <c r="S37" s="144">
        <v>0.25</v>
      </c>
      <c r="T37" s="152">
        <v>0.25</v>
      </c>
      <c r="U37" s="54" t="str">
        <f t="shared" si="2"/>
        <v>-</v>
      </c>
    </row>
    <row r="38" spans="4:21" ht="15.75" thickBot="1">
      <c r="D38" s="335"/>
      <c r="E38" s="317"/>
      <c r="F38" s="316"/>
      <c r="G38" s="316"/>
      <c r="H38" s="316"/>
      <c r="I38" s="316"/>
      <c r="J38" s="319"/>
      <c r="K38" s="318"/>
      <c r="P38" s="6" t="str">
        <f>Inputs!C65</f>
        <v>Loss of fresh matter through process (%)</v>
      </c>
      <c r="Q38" s="41" t="s">
        <v>92</v>
      </c>
      <c r="R38" s="41" t="s">
        <v>92</v>
      </c>
      <c r="S38" s="41">
        <v>80</v>
      </c>
      <c r="T38" s="41">
        <v>3</v>
      </c>
      <c r="U38" s="46" t="str">
        <f t="shared" si="2"/>
        <v>-</v>
      </c>
    </row>
    <row r="39" spans="3:11" ht="15.75" thickBot="1">
      <c r="C39" s="38" t="s">
        <v>60</v>
      </c>
      <c r="D39" s="50" t="s">
        <v>79</v>
      </c>
      <c r="E39" s="3" t="s">
        <v>64</v>
      </c>
      <c r="F39" s="3" t="s">
        <v>64</v>
      </c>
      <c r="G39" s="3" t="s">
        <v>71</v>
      </c>
      <c r="H39" s="3" t="s">
        <v>66</v>
      </c>
      <c r="I39" s="3" t="s">
        <v>68</v>
      </c>
      <c r="J39" s="31" t="s">
        <v>72</v>
      </c>
      <c r="K39" s="124" t="s">
        <v>62</v>
      </c>
    </row>
    <row r="40" spans="3:21" ht="45">
      <c r="C40" s="5">
        <v>1</v>
      </c>
      <c r="D40" s="50" t="e">
        <f>K40*Inputs!$F$34</f>
        <v>#VALUE!</v>
      </c>
      <c r="E40" s="142">
        <f>AVERAGE((2225+6600),(3200+6600))</f>
        <v>9312.5</v>
      </c>
      <c r="F40" s="142">
        <f>AVERAGE(500,650)</f>
        <v>575</v>
      </c>
      <c r="G40" s="142">
        <v>200</v>
      </c>
      <c r="H40" s="39">
        <f>1.1+1.1</f>
        <v>2.2</v>
      </c>
      <c r="I40" s="39">
        <v>600</v>
      </c>
      <c r="J40" s="40">
        <f>AVERAGE(40,60)</f>
        <v>50</v>
      </c>
      <c r="K40" s="43">
        <v>200</v>
      </c>
      <c r="P40" s="292" t="s">
        <v>177</v>
      </c>
      <c r="Q40" s="324" t="s">
        <v>38</v>
      </c>
      <c r="R40" s="325"/>
      <c r="S40" s="325"/>
      <c r="T40" s="325"/>
      <c r="U40" s="336" t="s">
        <v>45</v>
      </c>
    </row>
    <row r="41" spans="3:21" ht="15">
      <c r="C41" s="5">
        <v>2</v>
      </c>
      <c r="D41" s="50" t="e">
        <f>K41*Inputs!$F$34</f>
        <v>#VALUE!</v>
      </c>
      <c r="E41" s="142">
        <f>AVERAGE((4200+6600),(4400+6600))</f>
        <v>10900</v>
      </c>
      <c r="F41" s="142">
        <f>AVERAGE(500,650)</f>
        <v>575</v>
      </c>
      <c r="G41" s="142">
        <v>200</v>
      </c>
      <c r="H41" s="39">
        <f>2.2+1.1</f>
        <v>3.3000000000000003</v>
      </c>
      <c r="I41" s="39">
        <v>600</v>
      </c>
      <c r="J41" s="40">
        <f>AVERAGE(40,60)</f>
        <v>50</v>
      </c>
      <c r="K41" s="43">
        <v>500</v>
      </c>
      <c r="P41" s="293"/>
      <c r="Q41" s="3" t="s">
        <v>23</v>
      </c>
      <c r="R41" s="3" t="s">
        <v>24</v>
      </c>
      <c r="S41" s="3" t="s">
        <v>39</v>
      </c>
      <c r="T41" s="31" t="s">
        <v>40</v>
      </c>
      <c r="U41" s="337"/>
    </row>
    <row r="42" spans="3:21" ht="15">
      <c r="C42" s="5">
        <v>3</v>
      </c>
      <c r="D42" s="50" t="e">
        <f>K42*Inputs!$F$34</f>
        <v>#VALUE!</v>
      </c>
      <c r="E42" s="142">
        <v>12200</v>
      </c>
      <c r="F42" s="142">
        <v>500</v>
      </c>
      <c r="G42" s="142">
        <f>AVERAGE(400,700)</f>
        <v>550</v>
      </c>
      <c r="H42" s="39">
        <v>3.5</v>
      </c>
      <c r="I42" s="39">
        <v>300</v>
      </c>
      <c r="J42" s="40">
        <v>30</v>
      </c>
      <c r="K42" s="43">
        <v>600</v>
      </c>
      <c r="P42" s="5" t="str">
        <f>Inputs!C68</f>
        <v>Labour requirement - estates management (man hours/ working day)</v>
      </c>
      <c r="Q42" s="55">
        <v>0</v>
      </c>
      <c r="R42" s="55">
        <v>0</v>
      </c>
      <c r="S42" s="147">
        <f>8/30</f>
        <v>0.26666666666666666</v>
      </c>
      <c r="T42" s="147">
        <f>8/30</f>
        <v>0.26666666666666666</v>
      </c>
      <c r="U42" s="54" t="s">
        <v>178</v>
      </c>
    </row>
    <row r="43" spans="3:21" ht="15">
      <c r="C43" s="5">
        <v>4</v>
      </c>
      <c r="D43" s="50" t="e">
        <f>K43*Inputs!$F$34</f>
        <v>#VALUE!</v>
      </c>
      <c r="E43" s="142">
        <f>5700+6600</f>
        <v>12300</v>
      </c>
      <c r="F43" s="142">
        <f>AVERAGE(500,650)</f>
        <v>575</v>
      </c>
      <c r="G43" s="142">
        <v>200</v>
      </c>
      <c r="H43" s="39">
        <f>2.2+1.1</f>
        <v>3.3000000000000003</v>
      </c>
      <c r="I43" s="39">
        <v>600</v>
      </c>
      <c r="J43" s="40">
        <f>AVERAGE(40,60)</f>
        <v>50</v>
      </c>
      <c r="K43" s="43">
        <v>700</v>
      </c>
      <c r="P43" s="5" t="str">
        <f>Inputs!C69</f>
        <v>Labour requirement - set up professional support (man hrs in year 1)</v>
      </c>
      <c r="Q43" s="55">
        <v>8</v>
      </c>
      <c r="R43" s="55">
        <v>8</v>
      </c>
      <c r="S43" s="55">
        <v>170</v>
      </c>
      <c r="T43" s="55">
        <v>170</v>
      </c>
      <c r="U43" s="54" t="str">
        <f>U42</f>
        <v>-</v>
      </c>
    </row>
    <row r="44" spans="3:21" ht="15.75" thickBot="1">
      <c r="C44" s="6">
        <v>5</v>
      </c>
      <c r="D44" s="53" t="e">
        <f>K44*Inputs!$F$34</f>
        <v>#VALUE!</v>
      </c>
      <c r="E44" s="185">
        <f>6300+6600</f>
        <v>12900</v>
      </c>
      <c r="F44" s="185">
        <f>AVERAGE(500,650)</f>
        <v>575</v>
      </c>
      <c r="G44" s="185">
        <v>200</v>
      </c>
      <c r="H44" s="41">
        <f>4+1.1</f>
        <v>5.1</v>
      </c>
      <c r="I44" s="41">
        <v>600</v>
      </c>
      <c r="J44" s="42">
        <f>AVERAGE(40,60)</f>
        <v>50</v>
      </c>
      <c r="K44" s="46">
        <v>900</v>
      </c>
      <c r="P44" s="6" t="str">
        <f>Inputs!C70</f>
        <v>Labour requirement - ongoing prof. support (man hours/ each subsequent yr)</v>
      </c>
      <c r="Q44" s="41">
        <v>0</v>
      </c>
      <c r="R44" s="41">
        <v>0</v>
      </c>
      <c r="S44" s="41">
        <v>16</v>
      </c>
      <c r="T44" s="41">
        <v>16</v>
      </c>
      <c r="U44" s="46" t="str">
        <f>U43</f>
        <v>-</v>
      </c>
    </row>
    <row r="45" ht="15.75" thickBot="1"/>
    <row r="46" spans="4:18" ht="15">
      <c r="D46" s="332" t="s">
        <v>76</v>
      </c>
      <c r="E46" s="333"/>
      <c r="F46" s="333"/>
      <c r="G46" s="333"/>
      <c r="H46" s="333"/>
      <c r="I46" s="333"/>
      <c r="J46" s="333"/>
      <c r="K46" s="334"/>
      <c r="P46" s="63" t="s">
        <v>119</v>
      </c>
      <c r="Q46" s="8" t="s">
        <v>26</v>
      </c>
      <c r="R46" s="9" t="s">
        <v>120</v>
      </c>
    </row>
    <row r="47" spans="4:18" ht="15" customHeight="1">
      <c r="D47" s="339" t="s">
        <v>337</v>
      </c>
      <c r="E47" s="317" t="s">
        <v>63</v>
      </c>
      <c r="F47" s="316" t="s">
        <v>69</v>
      </c>
      <c r="G47" s="316" t="s">
        <v>70</v>
      </c>
      <c r="H47" s="316" t="s">
        <v>65</v>
      </c>
      <c r="I47" s="316" t="s">
        <v>67</v>
      </c>
      <c r="J47" s="319" t="s">
        <v>339</v>
      </c>
      <c r="K47" s="337" t="s">
        <v>61</v>
      </c>
      <c r="P47" s="5" t="str">
        <f>Inputs!C73</f>
        <v>Useful electrical output (kWh/annum)</v>
      </c>
      <c r="Q47" s="39">
        <v>0</v>
      </c>
      <c r="R47" s="43" t="s">
        <v>92</v>
      </c>
    </row>
    <row r="48" spans="4:18" ht="15.75" thickBot="1">
      <c r="D48" s="339"/>
      <c r="E48" s="317"/>
      <c r="F48" s="316"/>
      <c r="G48" s="316"/>
      <c r="H48" s="316"/>
      <c r="I48" s="316"/>
      <c r="J48" s="319"/>
      <c r="K48" s="337"/>
      <c r="P48" s="5" t="str">
        <f>Inputs!C74</f>
        <v>Useful heat output (kWh/annum)</v>
      </c>
      <c r="Q48" s="39">
        <v>0</v>
      </c>
      <c r="R48" s="43" t="str">
        <f>R47</f>
        <v>N/A</v>
      </c>
    </row>
    <row r="49" spans="3:18" ht="15">
      <c r="C49" s="38" t="s">
        <v>60</v>
      </c>
      <c r="D49" s="39" t="s">
        <v>79</v>
      </c>
      <c r="E49" s="3" t="s">
        <v>64</v>
      </c>
      <c r="F49" s="3" t="s">
        <v>64</v>
      </c>
      <c r="G49" s="3" t="s">
        <v>71</v>
      </c>
      <c r="H49" s="3" t="s">
        <v>66</v>
      </c>
      <c r="I49" s="3" t="s">
        <v>68</v>
      </c>
      <c r="J49" s="31" t="s">
        <v>72</v>
      </c>
      <c r="K49" s="209" t="s">
        <v>62</v>
      </c>
      <c r="P49" s="5" t="str">
        <f>Inputs!C75</f>
        <v>Feed in tariff value (£/kWh electrical)</v>
      </c>
      <c r="Q49" s="39">
        <v>0.152</v>
      </c>
      <c r="R49" s="43" t="str">
        <f>R48</f>
        <v>N/A</v>
      </c>
    </row>
    <row r="50" spans="3:18" ht="15">
      <c r="C50" s="5">
        <v>1</v>
      </c>
      <c r="D50" s="39">
        <v>30</v>
      </c>
      <c r="E50" s="39">
        <v>10775</v>
      </c>
      <c r="F50" s="39">
        <v>0</v>
      </c>
      <c r="G50" s="39">
        <v>490</v>
      </c>
      <c r="H50" s="39">
        <v>4</v>
      </c>
      <c r="I50" s="39">
        <v>0</v>
      </c>
      <c r="J50" s="40">
        <f>AVERAGE(85,90)</f>
        <v>87.5</v>
      </c>
      <c r="K50" s="139" t="e">
        <f>D50/Inputs!$F$35</f>
        <v>#VALUE!</v>
      </c>
      <c r="P50" s="5" t="str">
        <f>Inputs!C76</f>
        <v>Electricity export value (£/kWh)</v>
      </c>
      <c r="Q50" s="66">
        <v>0.046</v>
      </c>
      <c r="R50" s="43" t="str">
        <f>R49</f>
        <v>N/A</v>
      </c>
    </row>
    <row r="51" spans="3:18" ht="15">
      <c r="C51" s="5">
        <v>2</v>
      </c>
      <c r="D51" s="39">
        <v>50</v>
      </c>
      <c r="E51" s="39">
        <v>11625</v>
      </c>
      <c r="F51" s="39">
        <v>500</v>
      </c>
      <c r="G51" s="39">
        <f>AVERAGE(300,500)</f>
        <v>400</v>
      </c>
      <c r="H51" s="39">
        <v>1</v>
      </c>
      <c r="I51" s="39">
        <v>0</v>
      </c>
      <c r="J51" s="40">
        <v>90</v>
      </c>
      <c r="K51" s="139" t="e">
        <f>D51/Inputs!$F$35</f>
        <v>#VALUE!</v>
      </c>
      <c r="P51" s="5" t="str">
        <f>Inputs!C77</f>
        <v>RHI value (£/kWh thermal)</v>
      </c>
      <c r="Q51" s="39">
        <v>0.073</v>
      </c>
      <c r="R51" s="43" t="str">
        <f>R50</f>
        <v>N/A</v>
      </c>
    </row>
    <row r="52" spans="3:18" ht="15.75" thickBot="1">
      <c r="C52" s="5">
        <v>3</v>
      </c>
      <c r="D52" s="39">
        <v>100</v>
      </c>
      <c r="E52" s="39">
        <v>15590</v>
      </c>
      <c r="F52" s="39">
        <v>0</v>
      </c>
      <c r="G52" s="39">
        <v>490</v>
      </c>
      <c r="H52" s="39">
        <v>8</v>
      </c>
      <c r="I52" s="39">
        <v>0</v>
      </c>
      <c r="J52" s="40">
        <f>AVERAGE(85,90)</f>
        <v>87.5</v>
      </c>
      <c r="K52" s="139" t="e">
        <f>D52/Inputs!$F$35</f>
        <v>#VALUE!</v>
      </c>
      <c r="P52" s="6" t="str">
        <f>Inputs!C78</f>
        <v>Levy exemption certificate value (£/kWh)</v>
      </c>
      <c r="Q52" s="41">
        <v>0.00541</v>
      </c>
      <c r="R52" s="46" t="str">
        <f>R51</f>
        <v>N/A</v>
      </c>
    </row>
    <row r="53" spans="3:11" ht="15.75" thickBot="1">
      <c r="C53" s="5">
        <v>4</v>
      </c>
      <c r="D53" s="39">
        <v>300</v>
      </c>
      <c r="E53" s="39">
        <v>31250</v>
      </c>
      <c r="F53" s="39">
        <v>600</v>
      </c>
      <c r="G53" s="39">
        <f>AVERAGE(400,550)</f>
        <v>475</v>
      </c>
      <c r="H53" s="39">
        <v>1.5</v>
      </c>
      <c r="I53" s="39">
        <v>0</v>
      </c>
      <c r="J53" s="40">
        <v>90</v>
      </c>
      <c r="K53" s="139" t="e">
        <f>D53/Inputs!$F$35</f>
        <v>#VALUE!</v>
      </c>
    </row>
    <row r="54" spans="3:19" ht="30.75" thickBot="1">
      <c r="C54" s="6">
        <v>5</v>
      </c>
      <c r="D54" s="41">
        <v>600</v>
      </c>
      <c r="E54" s="41">
        <v>55625</v>
      </c>
      <c r="F54" s="41">
        <v>700</v>
      </c>
      <c r="G54" s="41">
        <f>AVERAGE(450,600)</f>
        <v>525</v>
      </c>
      <c r="H54" s="41">
        <v>3.3</v>
      </c>
      <c r="I54" s="41">
        <v>0</v>
      </c>
      <c r="J54" s="42">
        <v>90</v>
      </c>
      <c r="K54" s="210" t="e">
        <f>D54/Inputs!$F$35</f>
        <v>#VALUE!</v>
      </c>
      <c r="P54" s="306" t="s">
        <v>41</v>
      </c>
      <c r="Q54" s="326" t="s">
        <v>36</v>
      </c>
      <c r="R54" s="327"/>
      <c r="S54" s="322" t="s">
        <v>45</v>
      </c>
    </row>
    <row r="55" spans="16:19" ht="15.75" thickBot="1">
      <c r="P55" s="307"/>
      <c r="Q55" s="27" t="s">
        <v>30</v>
      </c>
      <c r="R55" s="32" t="s">
        <v>42</v>
      </c>
      <c r="S55" s="323"/>
    </row>
    <row r="56" spans="4:19" ht="15">
      <c r="D56" s="332" t="s">
        <v>327</v>
      </c>
      <c r="E56" s="333"/>
      <c r="F56" s="333"/>
      <c r="G56" s="333"/>
      <c r="H56" s="333"/>
      <c r="I56" s="333"/>
      <c r="J56" s="333"/>
      <c r="K56" s="334"/>
      <c r="P56" s="26" t="str">
        <f>Inputs!C95</f>
        <v>Number of units (write "1" for general waste option)</v>
      </c>
      <c r="Q56" s="171">
        <v>2</v>
      </c>
      <c r="R56" s="39">
        <v>1</v>
      </c>
      <c r="S56" s="43" t="str">
        <f>"-"</f>
        <v>-</v>
      </c>
    </row>
    <row r="57" spans="4:19" ht="30">
      <c r="D57" s="339" t="s">
        <v>337</v>
      </c>
      <c r="E57" s="317" t="s">
        <v>63</v>
      </c>
      <c r="F57" s="316" t="s">
        <v>69</v>
      </c>
      <c r="G57" s="316" t="s">
        <v>70</v>
      </c>
      <c r="H57" s="316" t="s">
        <v>65</v>
      </c>
      <c r="I57" s="316" t="s">
        <v>67</v>
      </c>
      <c r="J57" s="319" t="s">
        <v>339</v>
      </c>
      <c r="K57" s="337" t="s">
        <v>61</v>
      </c>
      <c r="P57" s="26" t="str">
        <f>Inputs!C96</f>
        <v>Processing time (hours/working day)</v>
      </c>
      <c r="Q57" s="171">
        <v>3</v>
      </c>
      <c r="R57" s="39">
        <v>3</v>
      </c>
      <c r="S57" s="43" t="str">
        <f>S56</f>
        <v>-</v>
      </c>
    </row>
    <row r="58" spans="4:19" ht="15.75" thickBot="1">
      <c r="D58" s="339"/>
      <c r="E58" s="317"/>
      <c r="F58" s="316"/>
      <c r="G58" s="316"/>
      <c r="H58" s="316"/>
      <c r="I58" s="316"/>
      <c r="J58" s="319"/>
      <c r="K58" s="337"/>
      <c r="P58" s="26" t="str">
        <f>Inputs!C97</f>
        <v>Number of catering operatives to operate pre-treatment</v>
      </c>
      <c r="Q58" s="171">
        <v>2</v>
      </c>
      <c r="R58" s="39">
        <v>1</v>
      </c>
      <c r="S58" s="43" t="str">
        <f>S57</f>
        <v>-</v>
      </c>
    </row>
    <row r="59" spans="3:19" ht="15" customHeight="1">
      <c r="C59" s="38" t="s">
        <v>60</v>
      </c>
      <c r="D59" s="39" t="s">
        <v>79</v>
      </c>
      <c r="E59" s="3" t="s">
        <v>64</v>
      </c>
      <c r="F59" s="3" t="s">
        <v>64</v>
      </c>
      <c r="G59" s="3" t="s">
        <v>71</v>
      </c>
      <c r="H59" s="3" t="s">
        <v>66</v>
      </c>
      <c r="I59" s="3" t="s">
        <v>68</v>
      </c>
      <c r="J59" s="31" t="s">
        <v>72</v>
      </c>
      <c r="K59" s="209" t="s">
        <v>62</v>
      </c>
      <c r="P59" s="26" t="str">
        <f>Inputs!C98</f>
        <v>Equipment cost (£/unit)</v>
      </c>
      <c r="Q59" s="171">
        <v>3000</v>
      </c>
      <c r="R59" s="40">
        <v>0</v>
      </c>
      <c r="S59" s="43" t="str">
        <f aca="true" t="shared" si="3" ref="S59:S64">S58</f>
        <v>-</v>
      </c>
    </row>
    <row r="60" spans="3:19" ht="15">
      <c r="C60" s="5">
        <v>1</v>
      </c>
      <c r="D60" s="39">
        <v>20</v>
      </c>
      <c r="E60" s="39">
        <v>8000</v>
      </c>
      <c r="F60" s="39">
        <v>250</v>
      </c>
      <c r="G60" s="39">
        <v>250</v>
      </c>
      <c r="H60" s="39">
        <v>1.4</v>
      </c>
      <c r="I60" s="39">
        <v>0</v>
      </c>
      <c r="J60" s="40">
        <v>90</v>
      </c>
      <c r="K60" s="139" t="e">
        <f>D60/Inputs!$F$35</f>
        <v>#VALUE!</v>
      </c>
      <c r="P60" s="26" t="str">
        <f>Inputs!C99</f>
        <v>Equipment installation costs (£/unit)</v>
      </c>
      <c r="Q60" s="171">
        <v>500</v>
      </c>
      <c r="R60" s="40">
        <v>0</v>
      </c>
      <c r="S60" s="43" t="str">
        <f t="shared" si="3"/>
        <v>-</v>
      </c>
    </row>
    <row r="61" spans="3:19" ht="15">
      <c r="C61" s="5">
        <v>2</v>
      </c>
      <c r="D61" s="39">
        <v>60</v>
      </c>
      <c r="E61" s="39">
        <v>13000</v>
      </c>
      <c r="F61" s="39">
        <v>250</v>
      </c>
      <c r="G61" s="39">
        <v>250</v>
      </c>
      <c r="H61" s="39">
        <v>3.2</v>
      </c>
      <c r="I61" s="39">
        <v>0</v>
      </c>
      <c r="J61" s="40">
        <v>90</v>
      </c>
      <c r="K61" s="139" t="e">
        <f>D61/Inputs!$F$35</f>
        <v>#VALUE!</v>
      </c>
      <c r="P61" s="26" t="str">
        <f>Inputs!C100</f>
        <v>Maintenance cost (£/a/unit)</v>
      </c>
      <c r="Q61" s="171">
        <v>200</v>
      </c>
      <c r="R61" s="51">
        <f>_xlfn.IFERROR(8.37/200/7.5*Inputs!F13*1000,"ERROR")</f>
        <v>0</v>
      </c>
      <c r="S61" s="43" t="str">
        <f t="shared" si="3"/>
        <v>-</v>
      </c>
    </row>
    <row r="62" spans="3:19" ht="15">
      <c r="C62" s="5">
        <v>3</v>
      </c>
      <c r="D62" s="39">
        <v>100</v>
      </c>
      <c r="E62" s="39">
        <v>18000</v>
      </c>
      <c r="F62" s="39">
        <v>250</v>
      </c>
      <c r="G62" s="39">
        <v>250</v>
      </c>
      <c r="H62" s="39">
        <v>5</v>
      </c>
      <c r="I62" s="39">
        <v>0</v>
      </c>
      <c r="J62" s="40">
        <v>90</v>
      </c>
      <c r="K62" s="139" t="e">
        <f>D62/Inputs!$F$35</f>
        <v>#VALUE!</v>
      </c>
      <c r="P62" s="26" t="str">
        <f>Inputs!C101</f>
        <v>Electrical power (kW/unit)</v>
      </c>
      <c r="Q62" s="171">
        <v>4.4</v>
      </c>
      <c r="R62" s="40">
        <v>0</v>
      </c>
      <c r="S62" s="43" t="str">
        <f t="shared" si="3"/>
        <v>-</v>
      </c>
    </row>
    <row r="63" spans="3:19" ht="15">
      <c r="C63" s="5">
        <v>4</v>
      </c>
      <c r="D63" s="39">
        <v>200</v>
      </c>
      <c r="E63" s="39">
        <v>25000</v>
      </c>
      <c r="F63" s="39">
        <v>400</v>
      </c>
      <c r="G63" s="39">
        <v>250</v>
      </c>
      <c r="H63" s="39">
        <v>11.2</v>
      </c>
      <c r="I63" s="39">
        <v>0</v>
      </c>
      <c r="J63" s="40">
        <v>90</v>
      </c>
      <c r="K63" s="139" t="e">
        <f>D63/Inputs!$F$35</f>
        <v>#VALUE!</v>
      </c>
      <c r="P63" s="26" t="str">
        <f>Inputs!C102</f>
        <v>Water use (l/h/unit)</v>
      </c>
      <c r="Q63" s="171">
        <v>860</v>
      </c>
      <c r="R63" s="40">
        <v>0</v>
      </c>
      <c r="S63" s="43" t="str">
        <f t="shared" si="3"/>
        <v>-</v>
      </c>
    </row>
    <row r="64" spans="3:19" ht="15.75" thickBot="1">
      <c r="C64" s="6">
        <v>5</v>
      </c>
      <c r="D64" s="41">
        <v>600</v>
      </c>
      <c r="E64" s="41">
        <v>65000</v>
      </c>
      <c r="F64" s="41">
        <v>400</v>
      </c>
      <c r="G64" s="41">
        <v>250</v>
      </c>
      <c r="H64" s="41">
        <v>24.7</v>
      </c>
      <c r="I64" s="41">
        <v>0</v>
      </c>
      <c r="J64" s="42">
        <v>90</v>
      </c>
      <c r="K64" s="210" t="e">
        <f>D64/Inputs!$F$35</f>
        <v>#VALUE!</v>
      </c>
      <c r="P64" s="28" t="str">
        <f>Inputs!C103</f>
        <v>% food waste to sewer (% by mass)</v>
      </c>
      <c r="Q64" s="193">
        <v>100</v>
      </c>
      <c r="R64" s="42">
        <v>0</v>
      </c>
      <c r="S64" s="46" t="str">
        <f t="shared" si="3"/>
        <v>-</v>
      </c>
    </row>
    <row r="65" ht="15.75" thickBot="1"/>
    <row r="66" spans="4:19" ht="30">
      <c r="D66" s="332" t="s">
        <v>328</v>
      </c>
      <c r="E66" s="333"/>
      <c r="F66" s="333"/>
      <c r="G66" s="333"/>
      <c r="H66" s="333"/>
      <c r="I66" s="333"/>
      <c r="J66" s="333"/>
      <c r="K66" s="334"/>
      <c r="P66" s="306" t="s">
        <v>32</v>
      </c>
      <c r="Q66" s="328" t="s">
        <v>38</v>
      </c>
      <c r="R66" s="329"/>
      <c r="S66" s="322" t="s">
        <v>45</v>
      </c>
    </row>
    <row r="67" spans="4:19" ht="45">
      <c r="D67" s="335" t="s">
        <v>78</v>
      </c>
      <c r="E67" s="317" t="s">
        <v>63</v>
      </c>
      <c r="F67" s="316" t="s">
        <v>69</v>
      </c>
      <c r="G67" s="316" t="s">
        <v>70</v>
      </c>
      <c r="H67" s="316" t="s">
        <v>65</v>
      </c>
      <c r="I67" s="316" t="s">
        <v>67</v>
      </c>
      <c r="J67" s="319" t="s">
        <v>160</v>
      </c>
      <c r="K67" s="318" t="s">
        <v>61</v>
      </c>
      <c r="P67" s="307"/>
      <c r="Q67" s="27" t="s">
        <v>43</v>
      </c>
      <c r="R67" s="32" t="s">
        <v>44</v>
      </c>
      <c r="S67" s="323"/>
    </row>
    <row r="68" spans="4:19" ht="15.75" thickBot="1">
      <c r="D68" s="335"/>
      <c r="E68" s="317"/>
      <c r="F68" s="316"/>
      <c r="G68" s="316"/>
      <c r="H68" s="316"/>
      <c r="I68" s="316"/>
      <c r="J68" s="319"/>
      <c r="K68" s="318"/>
      <c r="P68" s="26" t="str">
        <f>Inputs!C106</f>
        <v>Collection and disposal cost (£/t)</v>
      </c>
      <c r="Q68" s="39">
        <v>0</v>
      </c>
      <c r="R68" s="194">
        <f>AVERAGE(125+36,167+36)</f>
        <v>182</v>
      </c>
      <c r="S68" s="43" t="str">
        <f>"-"</f>
        <v>-</v>
      </c>
    </row>
    <row r="69" spans="3:19" ht="15" customHeight="1" thickBot="1">
      <c r="C69" s="38" t="s">
        <v>60</v>
      </c>
      <c r="D69" s="50" t="s">
        <v>79</v>
      </c>
      <c r="E69" s="3" t="s">
        <v>64</v>
      </c>
      <c r="F69" s="3" t="s">
        <v>64</v>
      </c>
      <c r="G69" s="3" t="s">
        <v>71</v>
      </c>
      <c r="H69" s="3" t="s">
        <v>66</v>
      </c>
      <c r="I69" s="3" t="s">
        <v>68</v>
      </c>
      <c r="J69" s="31" t="s">
        <v>72</v>
      </c>
      <c r="K69" s="124" t="s">
        <v>62</v>
      </c>
      <c r="P69" s="28" t="str">
        <f>Inputs!C107</f>
        <v>Labour requirement - portering operative (man hours/working day)</v>
      </c>
      <c r="Q69" s="41">
        <v>0</v>
      </c>
      <c r="R69" s="148">
        <v>0</v>
      </c>
      <c r="S69" s="46" t="str">
        <f>S68</f>
        <v>-</v>
      </c>
    </row>
    <row r="70" spans="3:11" ht="15.75" thickBot="1">
      <c r="C70" s="5">
        <v>1</v>
      </c>
      <c r="D70" s="50" t="e">
        <f>K70*Inputs!$F$34</f>
        <v>#VALUE!</v>
      </c>
      <c r="E70" s="39">
        <v>1</v>
      </c>
      <c r="F70" s="39">
        <v>0</v>
      </c>
      <c r="G70" s="186">
        <f>ROUND(8.37/200/7.5*Inputs!F13*1000,0)</f>
        <v>0</v>
      </c>
      <c r="H70" s="39">
        <v>0</v>
      </c>
      <c r="I70" s="39">
        <v>0</v>
      </c>
      <c r="J70" s="40">
        <v>0</v>
      </c>
      <c r="K70" s="43">
        <v>10000</v>
      </c>
    </row>
    <row r="71" spans="3:19" ht="15" customHeight="1">
      <c r="C71" s="5">
        <v>2</v>
      </c>
      <c r="D71" s="50" t="e">
        <f>K71*Inputs!$F$34</f>
        <v>#VALUE!</v>
      </c>
      <c r="E71" s="39"/>
      <c r="F71" s="39"/>
      <c r="G71" s="39"/>
      <c r="H71" s="39"/>
      <c r="I71" s="39"/>
      <c r="J71" s="40"/>
      <c r="K71" s="43"/>
      <c r="N71" s="130"/>
      <c r="P71" s="306" t="s">
        <v>181</v>
      </c>
      <c r="Q71" s="328" t="s">
        <v>38</v>
      </c>
      <c r="R71" s="329"/>
      <c r="S71" s="322" t="s">
        <v>45</v>
      </c>
    </row>
    <row r="72" spans="3:19" ht="15">
      <c r="C72" s="5">
        <v>3</v>
      </c>
      <c r="D72" s="50" t="e">
        <f>K72*Inputs!$F$34</f>
        <v>#VALUE!</v>
      </c>
      <c r="E72" s="39"/>
      <c r="F72" s="39"/>
      <c r="G72" s="39"/>
      <c r="H72" s="39"/>
      <c r="I72" s="39"/>
      <c r="J72" s="40"/>
      <c r="K72" s="43"/>
      <c r="N72" s="130"/>
      <c r="P72" s="307"/>
      <c r="Q72" s="27" t="s">
        <v>43</v>
      </c>
      <c r="R72" s="32" t="s">
        <v>44</v>
      </c>
      <c r="S72" s="323"/>
    </row>
    <row r="73" spans="3:19" ht="15">
      <c r="C73" s="5">
        <v>4</v>
      </c>
      <c r="D73" s="50" t="e">
        <f>K73*Inputs!$F$34</f>
        <v>#VALUE!</v>
      </c>
      <c r="E73" s="39"/>
      <c r="F73" s="39"/>
      <c r="G73" s="39"/>
      <c r="H73" s="39"/>
      <c r="I73" s="39"/>
      <c r="J73" s="40"/>
      <c r="K73" s="43"/>
      <c r="N73" s="131"/>
      <c r="P73" s="26" t="str">
        <f>Inputs!C110</f>
        <v>Labour requirement - catering management (man hours/working day)</v>
      </c>
      <c r="Q73" s="55">
        <v>0</v>
      </c>
      <c r="R73" s="39">
        <v>0</v>
      </c>
      <c r="S73" s="54" t="s">
        <v>178</v>
      </c>
    </row>
    <row r="74" spans="3:19" ht="15.75" thickBot="1">
      <c r="C74" s="6">
        <v>5</v>
      </c>
      <c r="D74" s="53" t="e">
        <f>K74*Inputs!$F$34</f>
        <v>#VALUE!</v>
      </c>
      <c r="E74" s="41"/>
      <c r="F74" s="41"/>
      <c r="G74" s="41"/>
      <c r="H74" s="41"/>
      <c r="I74" s="41"/>
      <c r="J74" s="42"/>
      <c r="K74" s="46"/>
      <c r="N74" s="132"/>
      <c r="P74" s="28" t="str">
        <f>Inputs!C111</f>
        <v>Labour requirement - ongoing prof. support (man hours/ working day)</v>
      </c>
      <c r="Q74" s="41">
        <v>0</v>
      </c>
      <c r="R74" s="148">
        <v>0</v>
      </c>
      <c r="S74" s="46" t="str">
        <f>S73</f>
        <v>-</v>
      </c>
    </row>
    <row r="75" ht="15.75" thickBot="1">
      <c r="N75" s="132"/>
    </row>
    <row r="76" spans="3:14" ht="15.75" thickBot="1">
      <c r="C76" s="340" t="s">
        <v>81</v>
      </c>
      <c r="D76" s="341"/>
      <c r="E76" s="341"/>
      <c r="F76" s="49" t="s">
        <v>82</v>
      </c>
      <c r="G76" s="106">
        <f>Inputs!F13*1000/Inputs!F24</f>
        <v>0</v>
      </c>
      <c r="N76" s="132"/>
    </row>
    <row r="77" spans="12:17" ht="15">
      <c r="L77" t="s">
        <v>257</v>
      </c>
      <c r="N77" s="132"/>
      <c r="P77" s="33" t="s">
        <v>56</v>
      </c>
      <c r="Q77" s="4"/>
    </row>
    <row r="78" spans="14:17" ht="15">
      <c r="N78" s="132"/>
      <c r="P78" s="34" t="s">
        <v>57</v>
      </c>
      <c r="Q78" s="43">
        <v>113</v>
      </c>
    </row>
    <row r="79" spans="14:17" ht="15.75" thickBot="1">
      <c r="N79" s="64"/>
      <c r="P79" s="343" t="s">
        <v>58</v>
      </c>
      <c r="Q79" s="344"/>
    </row>
    <row r="80" spans="4:17" ht="15.75" thickBot="1">
      <c r="D80" s="332" t="s">
        <v>259</v>
      </c>
      <c r="E80" s="333"/>
      <c r="F80" s="333"/>
      <c r="G80" s="333"/>
      <c r="H80" s="333"/>
      <c r="I80" s="333"/>
      <c r="J80" s="333"/>
      <c r="K80" s="334"/>
      <c r="P80" s="35" t="s">
        <v>5</v>
      </c>
      <c r="Q80" s="44">
        <v>1</v>
      </c>
    </row>
    <row r="81" spans="4:17" ht="45">
      <c r="D81" s="335" t="s">
        <v>78</v>
      </c>
      <c r="E81" s="317" t="s">
        <v>63</v>
      </c>
      <c r="F81" s="316" t="s">
        <v>69</v>
      </c>
      <c r="G81" s="316" t="s">
        <v>70</v>
      </c>
      <c r="H81" s="317" t="s">
        <v>261</v>
      </c>
      <c r="I81" s="316" t="s">
        <v>65</v>
      </c>
      <c r="J81" s="316" t="s">
        <v>67</v>
      </c>
      <c r="K81" s="318" t="s">
        <v>61</v>
      </c>
      <c r="O81" s="345" t="s">
        <v>54</v>
      </c>
      <c r="P81" s="36" t="s">
        <v>52</v>
      </c>
      <c r="Q81" s="150">
        <v>1.57</v>
      </c>
    </row>
    <row r="82" spans="4:17" ht="15.75" thickBot="1">
      <c r="D82" s="335"/>
      <c r="E82" s="317"/>
      <c r="F82" s="316"/>
      <c r="G82" s="316"/>
      <c r="H82" s="317"/>
      <c r="I82" s="316"/>
      <c r="J82" s="316"/>
      <c r="K82" s="318"/>
      <c r="O82" s="346"/>
      <c r="P82" s="37" t="s">
        <v>53</v>
      </c>
      <c r="Q82" s="45">
        <v>0.93</v>
      </c>
    </row>
    <row r="83" spans="3:11" ht="15.75" thickBot="1">
      <c r="C83" s="38" t="s">
        <v>60</v>
      </c>
      <c r="D83" s="50" t="s">
        <v>79</v>
      </c>
      <c r="E83" s="3" t="s">
        <v>64</v>
      </c>
      <c r="F83" s="3" t="s">
        <v>64</v>
      </c>
      <c r="G83" s="3" t="s">
        <v>71</v>
      </c>
      <c r="H83" s="154" t="s">
        <v>71</v>
      </c>
      <c r="I83" s="3" t="s">
        <v>66</v>
      </c>
      <c r="J83" s="3" t="s">
        <v>262</v>
      </c>
      <c r="K83" s="124" t="s">
        <v>260</v>
      </c>
    </row>
    <row r="84" spans="3:17" ht="15">
      <c r="C84" s="5">
        <v>1</v>
      </c>
      <c r="D84" s="157">
        <f>K84*1000/365</f>
        <v>43.83561643835616</v>
      </c>
      <c r="E84" s="39">
        <v>24238</v>
      </c>
      <c r="F84" s="39">
        <v>650</v>
      </c>
      <c r="G84" s="39"/>
      <c r="H84" s="39">
        <f>AVERAGE(200,300)</f>
        <v>250</v>
      </c>
      <c r="I84" s="39">
        <v>1.5</v>
      </c>
      <c r="J84" s="40">
        <v>0</v>
      </c>
      <c r="K84" s="43">
        <v>16</v>
      </c>
      <c r="P84" s="268" t="s">
        <v>18</v>
      </c>
      <c r="Q84" s="269"/>
    </row>
    <row r="85" spans="3:17" ht="15">
      <c r="C85" s="5">
        <v>2</v>
      </c>
      <c r="D85" s="157">
        <f>K85*1000/365</f>
        <v>71.23287671232876</v>
      </c>
      <c r="E85" s="39">
        <v>27607</v>
      </c>
      <c r="F85" s="39">
        <v>650</v>
      </c>
      <c r="G85" s="39"/>
      <c r="H85" s="39">
        <f>AVERAGE(200,300)</f>
        <v>250</v>
      </c>
      <c r="I85" s="39">
        <v>1.5</v>
      </c>
      <c r="J85" s="40">
        <v>0</v>
      </c>
      <c r="K85" s="43">
        <v>26</v>
      </c>
      <c r="P85" s="5" t="str">
        <f>Inputs!C16</f>
        <v>Unit cost of water (£/l)</v>
      </c>
      <c r="Q85" s="43">
        <v>0.00077</v>
      </c>
    </row>
    <row r="86" spans="3:17" ht="15">
      <c r="C86" s="5">
        <v>3</v>
      </c>
      <c r="D86" s="157">
        <f>K86*1000/365</f>
        <v>142.46575342465752</v>
      </c>
      <c r="E86" s="39">
        <v>42112</v>
      </c>
      <c r="F86" s="39">
        <v>650</v>
      </c>
      <c r="G86" s="39"/>
      <c r="H86" s="39">
        <f>AVERAGE(200,300)</f>
        <v>250</v>
      </c>
      <c r="I86" s="39">
        <v>4.2</v>
      </c>
      <c r="J86" s="40">
        <v>0</v>
      </c>
      <c r="K86" s="43">
        <v>52</v>
      </c>
      <c r="P86" s="5" t="str">
        <f>Inputs!C17</f>
        <v>Unit cost of electricity (£/kWh)</v>
      </c>
      <c r="Q86" s="43">
        <v>0.0914</v>
      </c>
    </row>
    <row r="87" spans="3:17" ht="15">
      <c r="C87" s="5">
        <v>4</v>
      </c>
      <c r="D87" s="157">
        <f>K87*1000/365</f>
        <v>0</v>
      </c>
      <c r="E87" s="39"/>
      <c r="F87" s="39"/>
      <c r="G87" s="39"/>
      <c r="H87" s="39"/>
      <c r="I87" s="39"/>
      <c r="J87" s="40"/>
      <c r="K87" s="43"/>
      <c r="P87" s="5" t="str">
        <f>Inputs!C18</f>
        <v>Hourly cost of labour - catering/portering operative (£/h)</v>
      </c>
      <c r="Q87" s="141">
        <f>ROUND(14653/233/8,2)</f>
        <v>7.86</v>
      </c>
    </row>
    <row r="88" spans="3:17" ht="15.75" thickBot="1">
      <c r="C88" s="6">
        <v>5</v>
      </c>
      <c r="D88" s="158">
        <f>K88*1000/365</f>
        <v>0</v>
      </c>
      <c r="E88" s="41"/>
      <c r="F88" s="41"/>
      <c r="G88" s="41"/>
      <c r="H88" s="41"/>
      <c r="I88" s="41"/>
      <c r="J88" s="42"/>
      <c r="K88" s="46"/>
      <c r="P88" s="5" t="str">
        <f>Inputs!C19</f>
        <v>Hourly cost of labour - catering management (£/h)</v>
      </c>
      <c r="Q88" s="140">
        <f>ROUND(24312/228/8,2)</f>
        <v>13.33</v>
      </c>
    </row>
    <row r="89" spans="16:17" ht="15.75" thickBot="1">
      <c r="P89" s="5" t="str">
        <f>Inputs!C20</f>
        <v>Hourly cost of labour - estates onsite AD/IVC operative (£/h)</v>
      </c>
      <c r="Q89" s="140">
        <f>ROUND(24312/228/8,2)</f>
        <v>13.33</v>
      </c>
    </row>
    <row r="90" spans="4:17" ht="15">
      <c r="D90" s="332" t="s">
        <v>263</v>
      </c>
      <c r="E90" s="333"/>
      <c r="F90" s="333"/>
      <c r="G90" s="333"/>
      <c r="H90" s="333"/>
      <c r="I90" s="333"/>
      <c r="J90" s="333"/>
      <c r="K90" s="334"/>
      <c r="N90" s="129"/>
      <c r="P90" s="5" t="str">
        <f>Inputs!C21</f>
        <v>Hourly cost of labour - estate management (£/h)</v>
      </c>
      <c r="Q90" s="141">
        <f>ROUND(35536/228/8,2)</f>
        <v>19.48</v>
      </c>
    </row>
    <row r="91" spans="4:17" ht="45">
      <c r="D91" s="335" t="s">
        <v>78</v>
      </c>
      <c r="E91" s="317" t="s">
        <v>63</v>
      </c>
      <c r="F91" s="316" t="s">
        <v>69</v>
      </c>
      <c r="G91" s="316" t="s">
        <v>70</v>
      </c>
      <c r="H91" s="317" t="s">
        <v>261</v>
      </c>
      <c r="I91" s="316" t="s">
        <v>65</v>
      </c>
      <c r="J91" s="316" t="s">
        <v>67</v>
      </c>
      <c r="K91" s="318" t="s">
        <v>61</v>
      </c>
      <c r="N91" s="130"/>
      <c r="P91" s="5" t="str">
        <f>Inputs!C22</f>
        <v>Hourly cost of labour - professional support (£/h)</v>
      </c>
      <c r="Q91" s="54">
        <f>ROUND(88,2)</f>
        <v>88</v>
      </c>
    </row>
    <row r="92" spans="4:17" ht="15.75" thickBot="1">
      <c r="D92" s="335"/>
      <c r="E92" s="317"/>
      <c r="F92" s="316"/>
      <c r="G92" s="316"/>
      <c r="H92" s="317"/>
      <c r="I92" s="316"/>
      <c r="J92" s="316"/>
      <c r="K92" s="318"/>
      <c r="N92" s="130"/>
      <c r="P92" s="11" t="str">
        <f>Inputs!C23</f>
        <v>Unit cost of sewerage (£/m3)</v>
      </c>
      <c r="Q92" s="43">
        <v>0</v>
      </c>
    </row>
    <row r="93" spans="3:17" ht="15">
      <c r="C93" s="38" t="s">
        <v>60</v>
      </c>
      <c r="D93" s="50" t="s">
        <v>79</v>
      </c>
      <c r="E93" s="3" t="s">
        <v>64</v>
      </c>
      <c r="F93" s="3" t="s">
        <v>64</v>
      </c>
      <c r="G93" s="3" t="s">
        <v>71</v>
      </c>
      <c r="H93" s="154" t="s">
        <v>71</v>
      </c>
      <c r="I93" s="3" t="s">
        <v>66</v>
      </c>
      <c r="J93" s="3" t="s">
        <v>262</v>
      </c>
      <c r="K93" s="124" t="s">
        <v>260</v>
      </c>
      <c r="N93" s="130"/>
      <c r="P93" s="11" t="str">
        <f>Inputs!C24</f>
        <v>No. of working days for hospital (working days/annum)</v>
      </c>
      <c r="Q93" s="54">
        <v>365</v>
      </c>
    </row>
    <row r="94" spans="3:17" ht="15.75" thickBot="1">
      <c r="C94" s="5">
        <v>1</v>
      </c>
      <c r="D94" s="157">
        <f>K94*1000/365</f>
        <v>500</v>
      </c>
      <c r="E94" s="39">
        <v>115000</v>
      </c>
      <c r="F94" s="39">
        <f>AVERAGE(1000,25000)</f>
        <v>13000</v>
      </c>
      <c r="G94" s="39">
        <v>10000</v>
      </c>
      <c r="H94" s="39">
        <v>0</v>
      </c>
      <c r="I94" s="159">
        <f>ROUND(0.05*22500/365/24,3)</f>
        <v>0.128</v>
      </c>
      <c r="J94" s="40">
        <v>0</v>
      </c>
      <c r="K94" s="43">
        <f>0.5*365</f>
        <v>182.5</v>
      </c>
      <c r="N94" s="132"/>
      <c r="P94" s="6" t="s">
        <v>137</v>
      </c>
      <c r="Q94" s="46">
        <v>15</v>
      </c>
    </row>
    <row r="95" spans="3:14" ht="15">
      <c r="C95" s="5">
        <v>2</v>
      </c>
      <c r="D95" s="157">
        <f>K95*1000/365</f>
        <v>500</v>
      </c>
      <c r="E95" s="186">
        <f>ROUND((40000+(1500+1500)/2*3)+(30*20*39)+((20+20+30+30)*26.5*2/3)+390+(25*30),0)</f>
        <v>70807</v>
      </c>
      <c r="F95" s="39">
        <v>7000</v>
      </c>
      <c r="G95" s="39">
        <v>2000</v>
      </c>
      <c r="H95" s="39">
        <v>300</v>
      </c>
      <c r="I95" s="39">
        <v>0.2</v>
      </c>
      <c r="J95" s="40">
        <v>50</v>
      </c>
      <c r="K95" s="43">
        <f>0.5*365</f>
        <v>182.5</v>
      </c>
      <c r="N95" s="132"/>
    </row>
    <row r="96" spans="3:14" ht="15">
      <c r="C96" s="5">
        <v>3</v>
      </c>
      <c r="D96" s="157">
        <f>K96*1000/365</f>
        <v>1000</v>
      </c>
      <c r="E96" s="39">
        <f>ROUND(60000+(1500+2000)/2*6+(30*20*39*1.2)+((20+20+30+30)*26.5*2/3*1.2)+390+(25*30*1.2),0)</f>
        <v>101990</v>
      </c>
      <c r="F96" s="39">
        <v>10000</v>
      </c>
      <c r="G96" s="39">
        <v>3000</v>
      </c>
      <c r="H96" s="39">
        <v>400</v>
      </c>
      <c r="I96" s="39">
        <v>0.3</v>
      </c>
      <c r="J96" s="40">
        <v>50</v>
      </c>
      <c r="K96" s="43">
        <f>1*365</f>
        <v>365</v>
      </c>
      <c r="N96" s="132"/>
    </row>
    <row r="97" spans="3:11" ht="15">
      <c r="C97" s="5">
        <v>4</v>
      </c>
      <c r="D97" s="157">
        <f>K97*1000/365</f>
        <v>2000</v>
      </c>
      <c r="E97" s="39">
        <f>ROUND((90000+(2000+2000)/2*13)+(30*20*39*1.5)+((20+20+30+30)*26.5*2/3*1.5)+390+(25*30*1.2),0)</f>
        <v>155040</v>
      </c>
      <c r="F97" s="39">
        <v>14000</v>
      </c>
      <c r="G97" s="39">
        <v>4000</v>
      </c>
      <c r="H97" s="39">
        <v>500</v>
      </c>
      <c r="I97" s="39">
        <v>0.5</v>
      </c>
      <c r="J97" s="40">
        <v>50</v>
      </c>
      <c r="K97" s="43">
        <f>2*365</f>
        <v>730</v>
      </c>
    </row>
    <row r="98" spans="3:11" ht="15.75" thickBot="1">
      <c r="C98" s="6">
        <v>5</v>
      </c>
      <c r="D98" s="158">
        <f>K98*1000/365</f>
        <v>0</v>
      </c>
      <c r="E98" s="41"/>
      <c r="F98" s="41"/>
      <c r="G98" s="41"/>
      <c r="H98" s="41"/>
      <c r="I98" s="41"/>
      <c r="J98" s="42"/>
      <c r="K98" s="46"/>
    </row>
    <row r="99" ht="15.75" thickBot="1"/>
    <row r="100" spans="3:7" ht="15.75" thickBot="1">
      <c r="C100" s="340" t="s">
        <v>81</v>
      </c>
      <c r="D100" s="341"/>
      <c r="E100" s="341"/>
      <c r="F100" s="49" t="s">
        <v>82</v>
      </c>
      <c r="G100" s="106" t="e">
        <f>'Technical calculation'!D17*1000/365</f>
        <v>#VALUE!</v>
      </c>
    </row>
    <row r="101" ht="15">
      <c r="L101" t="s">
        <v>264</v>
      </c>
    </row>
  </sheetData>
  <sheetProtection sheet="1" objects="1" scenarios="1"/>
  <mergeCells count="108">
    <mergeCell ref="J57:J58"/>
    <mergeCell ref="K57:K58"/>
    <mergeCell ref="I67:I68"/>
    <mergeCell ref="J67:J68"/>
    <mergeCell ref="K67:K68"/>
    <mergeCell ref="D56:K56"/>
    <mergeCell ref="D57:D58"/>
    <mergeCell ref="E57:E58"/>
    <mergeCell ref="F57:F58"/>
    <mergeCell ref="G57:G58"/>
    <mergeCell ref="H57:H58"/>
    <mergeCell ref="I57:I58"/>
    <mergeCell ref="C76:E76"/>
    <mergeCell ref="P79:Q79"/>
    <mergeCell ref="O81:O82"/>
    <mergeCell ref="P71:P72"/>
    <mergeCell ref="Q71:R71"/>
    <mergeCell ref="D80:K80"/>
    <mergeCell ref="D81:D82"/>
    <mergeCell ref="E81:E82"/>
    <mergeCell ref="F81:F82"/>
    <mergeCell ref="G81:G82"/>
    <mergeCell ref="H81:H82"/>
    <mergeCell ref="D90:K90"/>
    <mergeCell ref="D91:D92"/>
    <mergeCell ref="E91:E92"/>
    <mergeCell ref="F91:F92"/>
    <mergeCell ref="P84:Q84"/>
    <mergeCell ref="I81:I82"/>
    <mergeCell ref="J81:J82"/>
    <mergeCell ref="K81:K82"/>
    <mergeCell ref="D16:K16"/>
    <mergeCell ref="F17:F18"/>
    <mergeCell ref="G17:G18"/>
    <mergeCell ref="H17:H18"/>
    <mergeCell ref="I37:I38"/>
    <mergeCell ref="I27:I28"/>
    <mergeCell ref="J27:J28"/>
    <mergeCell ref="D17:D18"/>
    <mergeCell ref="D27:D28"/>
    <mergeCell ref="G67:G68"/>
    <mergeCell ref="H67:H68"/>
    <mergeCell ref="C100:E100"/>
    <mergeCell ref="U40:U41"/>
    <mergeCell ref="N10:O10"/>
    <mergeCell ref="K17:K18"/>
    <mergeCell ref="E17:E18"/>
    <mergeCell ref="K47:K48"/>
    <mergeCell ref="E47:E48"/>
    <mergeCell ref="F47:F48"/>
    <mergeCell ref="Q40:T40"/>
    <mergeCell ref="K37:K38"/>
    <mergeCell ref="J47:J48"/>
    <mergeCell ref="D37:D38"/>
    <mergeCell ref="D47:D48"/>
    <mergeCell ref="D46:K46"/>
    <mergeCell ref="P40:P41"/>
    <mergeCell ref="G47:G48"/>
    <mergeCell ref="H47:H48"/>
    <mergeCell ref="X7:X8"/>
    <mergeCell ref="Q7:W7"/>
    <mergeCell ref="U27:U28"/>
    <mergeCell ref="P7:P8"/>
    <mergeCell ref="S71:S72"/>
    <mergeCell ref="F37:F38"/>
    <mergeCell ref="D26:K26"/>
    <mergeCell ref="K27:K28"/>
    <mergeCell ref="E27:E28"/>
    <mergeCell ref="F27:F28"/>
    <mergeCell ref="N29:O29"/>
    <mergeCell ref="D6:K6"/>
    <mergeCell ref="H7:H8"/>
    <mergeCell ref="I7:I8"/>
    <mergeCell ref="F7:F8"/>
    <mergeCell ref="G7:G8"/>
    <mergeCell ref="J7:J8"/>
    <mergeCell ref="D7:D8"/>
    <mergeCell ref="K7:K8"/>
    <mergeCell ref="E7:E8"/>
    <mergeCell ref="E37:E38"/>
    <mergeCell ref="I17:I18"/>
    <mergeCell ref="J17:J18"/>
    <mergeCell ref="G37:G38"/>
    <mergeCell ref="H37:H38"/>
    <mergeCell ref="I47:I48"/>
    <mergeCell ref="G27:G28"/>
    <mergeCell ref="H27:H28"/>
    <mergeCell ref="D36:K36"/>
    <mergeCell ref="C2:M2"/>
    <mergeCell ref="C3:D3"/>
    <mergeCell ref="S66:S67"/>
    <mergeCell ref="Q27:T27"/>
    <mergeCell ref="P54:P55"/>
    <mergeCell ref="P66:P67"/>
    <mergeCell ref="Q54:R54"/>
    <mergeCell ref="Q66:R66"/>
    <mergeCell ref="P27:P28"/>
    <mergeCell ref="S54:S55"/>
    <mergeCell ref="G91:G92"/>
    <mergeCell ref="H91:H92"/>
    <mergeCell ref="I91:I92"/>
    <mergeCell ref="J91:J92"/>
    <mergeCell ref="K91:K92"/>
    <mergeCell ref="J37:J38"/>
    <mergeCell ref="D66:K66"/>
    <mergeCell ref="D67:D68"/>
    <mergeCell ref="E67:E68"/>
    <mergeCell ref="F67:F6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Henderson</dc:creator>
  <cp:keywords/>
  <dc:description/>
  <cp:lastModifiedBy>Amy Weir</cp:lastModifiedBy>
  <dcterms:created xsi:type="dcterms:W3CDTF">2013-07-15T10:52:04Z</dcterms:created>
  <dcterms:modified xsi:type="dcterms:W3CDTF">2017-05-16T13:04:20Z</dcterms:modified>
  <cp:category/>
  <cp:version/>
  <cp:contentType/>
  <cp:contentStatus/>
</cp:coreProperties>
</file>